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135" firstSheet="2" activeTab="2"/>
  </bookViews>
  <sheets>
    <sheet name="исходные" sheetId="1" state="hidden" r:id="rId1"/>
    <sheet name="параметры" sheetId="2" state="hidden" r:id="rId2"/>
    <sheet name="имитация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Z17" i="1" l="1"/>
  <c r="BD31" i="1" l="1"/>
  <c r="BD40" i="1" s="1"/>
  <c r="BE31" i="1"/>
  <c r="BE39" i="1" s="1"/>
  <c r="BF31" i="1"/>
  <c r="BF39" i="1" s="1"/>
  <c r="BG31" i="1"/>
  <c r="BG40" i="1" s="1"/>
  <c r="BH31" i="1"/>
  <c r="BH40" i="1" s="1"/>
  <c r="BI31" i="1"/>
  <c r="BI40" i="1" s="1"/>
  <c r="BJ31" i="1"/>
  <c r="BJ40" i="1" s="1"/>
  <c r="BK31" i="1"/>
  <c r="BK40" i="1" s="1"/>
  <c r="BL31" i="1"/>
  <c r="BM31" i="1"/>
  <c r="BM40" i="1" s="1"/>
  <c r="BN31" i="1"/>
  <c r="BN39" i="1" s="1"/>
  <c r="BO31" i="1"/>
  <c r="BO39" i="1" s="1"/>
  <c r="BP31" i="1"/>
  <c r="BP39" i="1" s="1"/>
  <c r="BQ31" i="1"/>
  <c r="BR31" i="1"/>
  <c r="BR40" i="1" s="1"/>
  <c r="BS31" i="1"/>
  <c r="BS39" i="1" s="1"/>
  <c r="BT31" i="1"/>
  <c r="BT40" i="1" s="1"/>
  <c r="BU31" i="1"/>
  <c r="BU39" i="1" s="1"/>
  <c r="BV31" i="1"/>
  <c r="BV40" i="1" s="1"/>
  <c r="BW31" i="1"/>
  <c r="BW39" i="1" s="1"/>
  <c r="BX31" i="1"/>
  <c r="BX40" i="1" s="1"/>
  <c r="BY31" i="1"/>
  <c r="BZ31" i="1"/>
  <c r="BZ40" i="1" s="1"/>
  <c r="CA31" i="1"/>
  <c r="CA40" i="1" s="1"/>
  <c r="CB31" i="1"/>
  <c r="CB40" i="1" s="1"/>
  <c r="CC31" i="1"/>
  <c r="CD31" i="1"/>
  <c r="CD40" i="1" s="1"/>
  <c r="CE31" i="1"/>
  <c r="CE40" i="1" s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BD35" i="1"/>
  <c r="BD38" i="1" s="1"/>
  <c r="BE35" i="1"/>
  <c r="BF35" i="1"/>
  <c r="BF38" i="1" s="1"/>
  <c r="BG35" i="1"/>
  <c r="BG38" i="1" s="1"/>
  <c r="BH35" i="1"/>
  <c r="BH38" i="1" s="1"/>
  <c r="BI35" i="1"/>
  <c r="BI38" i="1" s="1"/>
  <c r="BJ35" i="1"/>
  <c r="BK35" i="1"/>
  <c r="BK38" i="1" s="1"/>
  <c r="BL35" i="1"/>
  <c r="BL38" i="1" s="1"/>
  <c r="BM35" i="1"/>
  <c r="BM38" i="1" s="1"/>
  <c r="BN35" i="1"/>
  <c r="BN38" i="1" s="1"/>
  <c r="BO35" i="1"/>
  <c r="BO38" i="1" s="1"/>
  <c r="BP35" i="1"/>
  <c r="BR35" i="1"/>
  <c r="BR38" i="1" s="1"/>
  <c r="BS35" i="1"/>
  <c r="BS38" i="1" s="1"/>
  <c r="BT35" i="1"/>
  <c r="BT38" i="1" s="1"/>
  <c r="BU35" i="1"/>
  <c r="BU38" i="1" s="1"/>
  <c r="BV35" i="1"/>
  <c r="BW35" i="1"/>
  <c r="BW38" i="1" s="1"/>
  <c r="BX35" i="1"/>
  <c r="BY35" i="1"/>
  <c r="BY38" i="1" s="1"/>
  <c r="BZ35" i="1"/>
  <c r="BZ38" i="1" s="1"/>
  <c r="CA35" i="1"/>
  <c r="CA38" i="1" s="1"/>
  <c r="CB35" i="1"/>
  <c r="CC35" i="1"/>
  <c r="CD35" i="1"/>
  <c r="CE35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BE38" i="1"/>
  <c r="BJ38" i="1"/>
  <c r="BP38" i="1"/>
  <c r="BQ38" i="1"/>
  <c r="BV38" i="1"/>
  <c r="BX38" i="1"/>
  <c r="CB38" i="1"/>
  <c r="CC38" i="1"/>
  <c r="CD38" i="1"/>
  <c r="CE38" i="1"/>
  <c r="BD39" i="1"/>
  <c r="BH39" i="1"/>
  <c r="BI39" i="1"/>
  <c r="BJ39" i="1"/>
  <c r="BL39" i="1"/>
  <c r="BQ39" i="1"/>
  <c r="BR39" i="1"/>
  <c r="BT39" i="1"/>
  <c r="BV39" i="1"/>
  <c r="BY39" i="1"/>
  <c r="CA39" i="1"/>
  <c r="CB39" i="1"/>
  <c r="CC39" i="1"/>
  <c r="CE39" i="1"/>
  <c r="BE40" i="1"/>
  <c r="BL40" i="1"/>
  <c r="BN40" i="1"/>
  <c r="BO40" i="1"/>
  <c r="BP40" i="1"/>
  <c r="BQ40" i="1"/>
  <c r="BS40" i="1"/>
  <c r="BY40" i="1"/>
  <c r="CC40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BX39" i="1" l="1"/>
  <c r="BM39" i="1"/>
  <c r="BK39" i="1"/>
  <c r="CD39" i="1"/>
  <c r="BZ39" i="1"/>
  <c r="BU40" i="1"/>
  <c r="BW40" i="1"/>
  <c r="BF40" i="1"/>
  <c r="BG39" i="1"/>
  <c r="C24" i="3"/>
  <c r="D24" i="3" s="1"/>
  <c r="C25" i="3"/>
  <c r="D25" i="3" s="1"/>
  <c r="C26" i="3"/>
  <c r="D26" i="3" s="1"/>
  <c r="C27" i="3"/>
  <c r="D27" i="3" s="1"/>
  <c r="C28" i="3"/>
  <c r="D28" i="3" s="1"/>
  <c r="C29" i="3"/>
  <c r="D29" i="3" s="1"/>
  <c r="C23" i="3"/>
  <c r="D23" i="3" s="1"/>
  <c r="F47" i="1" l="1"/>
  <c r="T5" i="2" s="1"/>
  <c r="G47" i="1"/>
  <c r="T48" i="2" s="1"/>
  <c r="H47" i="1"/>
  <c r="T6" i="2" s="1"/>
  <c r="I47" i="1"/>
  <c r="T49" i="2" s="1"/>
  <c r="J47" i="1"/>
  <c r="T7" i="2" s="1"/>
  <c r="K47" i="1"/>
  <c r="L47" i="1"/>
  <c r="T8" i="2" s="1"/>
  <c r="M47" i="1"/>
  <c r="T51" i="2" s="1"/>
  <c r="N47" i="1"/>
  <c r="T9" i="2" s="1"/>
  <c r="O47" i="1"/>
  <c r="T52" i="2" s="1"/>
  <c r="P47" i="1"/>
  <c r="T10" i="2" s="1"/>
  <c r="Q47" i="1"/>
  <c r="T53" i="2" s="1"/>
  <c r="R47" i="1"/>
  <c r="T11" i="2" s="1"/>
  <c r="S47" i="1"/>
  <c r="T54" i="2" s="1"/>
  <c r="T47" i="1"/>
  <c r="T12" i="2" s="1"/>
  <c r="U47" i="1"/>
  <c r="T55" i="2" s="1"/>
  <c r="V47" i="1"/>
  <c r="T13" i="2" s="1"/>
  <c r="W47" i="1"/>
  <c r="T56" i="2" s="1"/>
  <c r="X47" i="1"/>
  <c r="T14" i="2" s="1"/>
  <c r="Y47" i="1"/>
  <c r="T57" i="2" s="1"/>
  <c r="Z47" i="1"/>
  <c r="T15" i="2" s="1"/>
  <c r="AA47" i="1"/>
  <c r="T58" i="2" s="1"/>
  <c r="AB47" i="1"/>
  <c r="T16" i="2" s="1"/>
  <c r="AC47" i="1"/>
  <c r="T59" i="2" s="1"/>
  <c r="AD47" i="1"/>
  <c r="T17" i="2" s="1"/>
  <c r="AE47" i="1"/>
  <c r="T60" i="2" s="1"/>
  <c r="AF47" i="1"/>
  <c r="T18" i="2" s="1"/>
  <c r="AG47" i="1"/>
  <c r="T61" i="2" s="1"/>
  <c r="AH47" i="1"/>
  <c r="AI47" i="1"/>
  <c r="T62" i="2" s="1"/>
  <c r="AJ47" i="1"/>
  <c r="T20" i="2" s="1"/>
  <c r="AK47" i="1"/>
  <c r="T63" i="2" s="1"/>
  <c r="AL47" i="1"/>
  <c r="T21" i="2" s="1"/>
  <c r="AM47" i="1"/>
  <c r="AN47" i="1"/>
  <c r="T22" i="2" s="1"/>
  <c r="AO47" i="1"/>
  <c r="T65" i="2" s="1"/>
  <c r="AP47" i="1"/>
  <c r="T23" i="2" s="1"/>
  <c r="AQ47" i="1"/>
  <c r="T66" i="2" s="1"/>
  <c r="AR47" i="1"/>
  <c r="T24" i="2" s="1"/>
  <c r="AS47" i="1"/>
  <c r="T67" i="2" s="1"/>
  <c r="AT47" i="1"/>
  <c r="T25" i="2" s="1"/>
  <c r="AU47" i="1"/>
  <c r="AV47" i="1"/>
  <c r="T26" i="2" s="1"/>
  <c r="AW47" i="1"/>
  <c r="T69" i="2" s="1"/>
  <c r="AX47" i="1"/>
  <c r="T27" i="2" s="1"/>
  <c r="AY47" i="1"/>
  <c r="T70" i="2" s="1"/>
  <c r="AZ47" i="1"/>
  <c r="T28" i="2" s="1"/>
  <c r="BA47" i="1"/>
  <c r="T71" i="2" s="1"/>
  <c r="BB47" i="1"/>
  <c r="T29" i="2" s="1"/>
  <c r="BC47" i="1"/>
  <c r="T72" i="2" s="1"/>
  <c r="E47" i="1"/>
  <c r="T47" i="2" s="1"/>
  <c r="D47" i="1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68" i="2"/>
  <c r="T64" i="2"/>
  <c r="T50" i="2"/>
  <c r="T46" i="2"/>
  <c r="T45" i="2"/>
  <c r="T44" i="2"/>
  <c r="T42" i="2"/>
  <c r="T38" i="2"/>
  <c r="T37" i="2"/>
  <c r="T43" i="2"/>
  <c r="T41" i="2"/>
  <c r="T40" i="2"/>
  <c r="T39" i="2"/>
  <c r="T36" i="2"/>
  <c r="T35" i="2"/>
  <c r="T34" i="2"/>
  <c r="T33" i="2"/>
  <c r="T32" i="2"/>
  <c r="T31" i="2"/>
  <c r="T30" i="2"/>
  <c r="T19" i="2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E42" i="1"/>
  <c r="D42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E41" i="1"/>
  <c r="D41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E37" i="1"/>
  <c r="D37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E36" i="1"/>
  <c r="D36" i="1"/>
  <c r="BC35" i="1"/>
  <c r="BC38" i="1" s="1"/>
  <c r="BB35" i="1"/>
  <c r="BB38" i="1" s="1"/>
  <c r="BA35" i="1"/>
  <c r="BA38" i="1" s="1"/>
  <c r="AZ35" i="1"/>
  <c r="AZ38" i="1" s="1"/>
  <c r="AY35" i="1"/>
  <c r="AY38" i="1" s="1"/>
  <c r="AX35" i="1"/>
  <c r="AX38" i="1" s="1"/>
  <c r="AW35" i="1"/>
  <c r="AW38" i="1" s="1"/>
  <c r="AV35" i="1"/>
  <c r="AV38" i="1" s="1"/>
  <c r="AU35" i="1"/>
  <c r="AU38" i="1" s="1"/>
  <c r="AT35" i="1"/>
  <c r="AT38" i="1" s="1"/>
  <c r="AS35" i="1"/>
  <c r="AS38" i="1" s="1"/>
  <c r="AR35" i="1"/>
  <c r="AR38" i="1" s="1"/>
  <c r="AQ35" i="1"/>
  <c r="AQ38" i="1" s="1"/>
  <c r="AP35" i="1"/>
  <c r="AP38" i="1" s="1"/>
  <c r="AO35" i="1"/>
  <c r="AO38" i="1" s="1"/>
  <c r="AN35" i="1"/>
  <c r="AN38" i="1" s="1"/>
  <c r="AM35" i="1"/>
  <c r="AM38" i="1" s="1"/>
  <c r="AL35" i="1"/>
  <c r="AL38" i="1" s="1"/>
  <c r="AK35" i="1"/>
  <c r="AK38" i="1" s="1"/>
  <c r="AJ35" i="1"/>
  <c r="AJ38" i="1" s="1"/>
  <c r="AI35" i="1"/>
  <c r="AI38" i="1" s="1"/>
  <c r="AH35" i="1"/>
  <c r="AH38" i="1" s="1"/>
  <c r="AG35" i="1"/>
  <c r="AG38" i="1" s="1"/>
  <c r="AF35" i="1"/>
  <c r="AF38" i="1" s="1"/>
  <c r="AE35" i="1"/>
  <c r="AE38" i="1" s="1"/>
  <c r="AD35" i="1"/>
  <c r="AD38" i="1" s="1"/>
  <c r="AC35" i="1"/>
  <c r="AC38" i="1" s="1"/>
  <c r="AB35" i="1"/>
  <c r="AB38" i="1" s="1"/>
  <c r="AA35" i="1"/>
  <c r="AA38" i="1" s="1"/>
  <c r="Z35" i="1"/>
  <c r="Z38" i="1" s="1"/>
  <c r="Y35" i="1"/>
  <c r="Y38" i="1" s="1"/>
  <c r="X35" i="1"/>
  <c r="X38" i="1" s="1"/>
  <c r="W35" i="1"/>
  <c r="W38" i="1" s="1"/>
  <c r="V35" i="1"/>
  <c r="V38" i="1" s="1"/>
  <c r="U38" i="1"/>
  <c r="T35" i="1"/>
  <c r="T38" i="1" s="1"/>
  <c r="S35" i="1"/>
  <c r="S38" i="1" s="1"/>
  <c r="R35" i="1"/>
  <c r="R38" i="1" s="1"/>
  <c r="Q35" i="1"/>
  <c r="Q38" i="1" s="1"/>
  <c r="P35" i="1"/>
  <c r="P38" i="1" s="1"/>
  <c r="O35" i="1"/>
  <c r="O38" i="1" s="1"/>
  <c r="N38" i="1"/>
  <c r="M35" i="1"/>
  <c r="M38" i="1" s="1"/>
  <c r="L35" i="1"/>
  <c r="L38" i="1" s="1"/>
  <c r="K35" i="1"/>
  <c r="K38" i="1" s="1"/>
  <c r="J35" i="1"/>
  <c r="J38" i="1" s="1"/>
  <c r="I35" i="1"/>
  <c r="I38" i="1" s="1"/>
  <c r="H35" i="1"/>
  <c r="H38" i="1" s="1"/>
  <c r="E35" i="1"/>
  <c r="E38" i="1" s="1"/>
  <c r="D35" i="1"/>
  <c r="D38" i="1" s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E34" i="1"/>
  <c r="D34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E33" i="1"/>
  <c r="D33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E32" i="1"/>
  <c r="D32" i="1"/>
  <c r="BC31" i="1"/>
  <c r="BB31" i="1"/>
  <c r="BA31" i="1"/>
  <c r="BA39" i="1" s="1"/>
  <c r="AZ31" i="1"/>
  <c r="AZ39" i="1" s="1"/>
  <c r="AY31" i="1"/>
  <c r="AX31" i="1"/>
  <c r="AW31" i="1"/>
  <c r="AW39" i="1" s="1"/>
  <c r="AV31" i="1"/>
  <c r="AV39" i="1" s="1"/>
  <c r="AU31" i="1"/>
  <c r="AT31" i="1"/>
  <c r="AS31" i="1"/>
  <c r="AS39" i="1" s="1"/>
  <c r="AR31" i="1"/>
  <c r="AR39" i="1" s="1"/>
  <c r="AQ31" i="1"/>
  <c r="AP31" i="1"/>
  <c r="AO31" i="1"/>
  <c r="AO39" i="1" s="1"/>
  <c r="AN31" i="1"/>
  <c r="AN39" i="1" s="1"/>
  <c r="AM31" i="1"/>
  <c r="AL31" i="1"/>
  <c r="AK31" i="1"/>
  <c r="AK39" i="1" s="1"/>
  <c r="AJ31" i="1"/>
  <c r="AJ39" i="1" s="1"/>
  <c r="AI31" i="1"/>
  <c r="AH31" i="1"/>
  <c r="AG31" i="1"/>
  <c r="AG39" i="1" s="1"/>
  <c r="AF31" i="1"/>
  <c r="AF39" i="1" s="1"/>
  <c r="AE31" i="1"/>
  <c r="AD31" i="1"/>
  <c r="AC31" i="1"/>
  <c r="AC39" i="1" s="1"/>
  <c r="AB31" i="1"/>
  <c r="AB39" i="1" s="1"/>
  <c r="AA31" i="1"/>
  <c r="Z31" i="1"/>
  <c r="Y31" i="1"/>
  <c r="Y39" i="1" s="1"/>
  <c r="X31" i="1"/>
  <c r="X39" i="1" s="1"/>
  <c r="W31" i="1"/>
  <c r="V31" i="1"/>
  <c r="U31" i="1"/>
  <c r="U39" i="1" s="1"/>
  <c r="T31" i="1"/>
  <c r="T39" i="1" s="1"/>
  <c r="S31" i="1"/>
  <c r="R31" i="1"/>
  <c r="Q31" i="1"/>
  <c r="Q39" i="1" s="1"/>
  <c r="P31" i="1"/>
  <c r="P39" i="1" s="1"/>
  <c r="O31" i="1"/>
  <c r="N31" i="1"/>
  <c r="M31" i="1"/>
  <c r="M39" i="1" s="1"/>
  <c r="L31" i="1"/>
  <c r="L39" i="1" s="1"/>
  <c r="K31" i="1"/>
  <c r="J31" i="1"/>
  <c r="I31" i="1"/>
  <c r="I39" i="1" s="1"/>
  <c r="H31" i="1"/>
  <c r="H39" i="1" s="1"/>
  <c r="E31" i="1"/>
  <c r="D31" i="1"/>
  <c r="AA40" i="1" l="1"/>
  <c r="AA39" i="1"/>
  <c r="AE40" i="1"/>
  <c r="AE39" i="1"/>
  <c r="AI40" i="1"/>
  <c r="AI39" i="1"/>
  <c r="AM40" i="1"/>
  <c r="AM39" i="1"/>
  <c r="AQ40" i="1"/>
  <c r="AQ39" i="1"/>
  <c r="AU40" i="1"/>
  <c r="AU39" i="1"/>
  <c r="AY40" i="1"/>
  <c r="AY39" i="1"/>
  <c r="BC40" i="1"/>
  <c r="BC39" i="1"/>
  <c r="Z40" i="1"/>
  <c r="Z39" i="1"/>
  <c r="AD40" i="1"/>
  <c r="AD39" i="1"/>
  <c r="AH40" i="1"/>
  <c r="AH39" i="1"/>
  <c r="AL40" i="1"/>
  <c r="AL39" i="1"/>
  <c r="AP40" i="1"/>
  <c r="AP39" i="1"/>
  <c r="AT40" i="1"/>
  <c r="AT39" i="1"/>
  <c r="AX40" i="1"/>
  <c r="AX39" i="1"/>
  <c r="BB40" i="1"/>
  <c r="BB39" i="1"/>
  <c r="D40" i="1"/>
  <c r="D39" i="1"/>
  <c r="R40" i="1"/>
  <c r="R39" i="1"/>
  <c r="V40" i="1"/>
  <c r="V39" i="1"/>
  <c r="K40" i="1"/>
  <c r="K39" i="1"/>
  <c r="W40" i="1"/>
  <c r="W39" i="1"/>
  <c r="E40" i="1"/>
  <c r="E39" i="1"/>
  <c r="O40" i="1"/>
  <c r="O39" i="1"/>
  <c r="N40" i="1"/>
  <c r="N39" i="1"/>
  <c r="J40" i="1"/>
  <c r="J39" i="1"/>
  <c r="S40" i="1"/>
  <c r="S39" i="1"/>
  <c r="T4" i="2"/>
  <c r="H40" i="1"/>
  <c r="L40" i="1"/>
  <c r="P40" i="1"/>
  <c r="T40" i="1"/>
  <c r="X40" i="1"/>
  <c r="AB40" i="1"/>
  <c r="AF40" i="1"/>
  <c r="AJ40" i="1"/>
  <c r="AN40" i="1"/>
  <c r="AR40" i="1"/>
  <c r="AV40" i="1"/>
  <c r="AZ40" i="1"/>
  <c r="I40" i="1"/>
  <c r="M40" i="1"/>
  <c r="Q40" i="1"/>
  <c r="U40" i="1"/>
  <c r="Y40" i="1"/>
  <c r="AC40" i="1"/>
  <c r="AG40" i="1"/>
  <c r="AK40" i="1"/>
  <c r="AO40" i="1"/>
  <c r="AS40" i="1"/>
  <c r="AW40" i="1"/>
  <c r="BA40" i="1"/>
  <c r="J19" i="3"/>
  <c r="K19" i="3"/>
  <c r="L19" i="3"/>
  <c r="M19" i="3"/>
  <c r="J20" i="3"/>
  <c r="K20" i="3"/>
  <c r="L20" i="3"/>
  <c r="M20" i="3"/>
  <c r="J21" i="3"/>
  <c r="K21" i="3"/>
  <c r="L21" i="3"/>
  <c r="M21" i="3"/>
  <c r="J22" i="3"/>
  <c r="K22" i="3"/>
  <c r="L22" i="3"/>
  <c r="M22" i="3"/>
  <c r="J23" i="3"/>
  <c r="K23" i="3"/>
  <c r="L23" i="3"/>
  <c r="M23" i="3"/>
  <c r="I23" i="3"/>
  <c r="I22" i="3"/>
  <c r="I21" i="3"/>
  <c r="I19" i="3"/>
  <c r="I20" i="3"/>
  <c r="F33" i="1" l="1"/>
  <c r="G33" i="1"/>
  <c r="F34" i="1"/>
  <c r="G34" i="1"/>
  <c r="B88" i="2" l="1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L17" i="3" l="1"/>
  <c r="M17" i="3"/>
  <c r="K17" i="3"/>
  <c r="J17" i="3"/>
  <c r="I17" i="3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47" i="2"/>
  <c r="F42" i="1"/>
  <c r="N5" i="2" s="1"/>
  <c r="G42" i="1"/>
  <c r="N48" i="2" s="1"/>
  <c r="N6" i="2"/>
  <c r="N49" i="2"/>
  <c r="N7" i="2"/>
  <c r="N50" i="2"/>
  <c r="N8" i="2"/>
  <c r="N51" i="2"/>
  <c r="N9" i="2"/>
  <c r="N52" i="2"/>
  <c r="N10" i="2"/>
  <c r="N53" i="2"/>
  <c r="N11" i="2"/>
  <c r="N54" i="2"/>
  <c r="N12" i="2"/>
  <c r="N55" i="2"/>
  <c r="N13" i="2"/>
  <c r="N56" i="2"/>
  <c r="N14" i="2"/>
  <c r="N57" i="2"/>
  <c r="N15" i="2"/>
  <c r="N58" i="2"/>
  <c r="N16" i="2"/>
  <c r="N59" i="2"/>
  <c r="N17" i="2"/>
  <c r="N60" i="2"/>
  <c r="N18" i="2"/>
  <c r="N61" i="2"/>
  <c r="N19" i="2"/>
  <c r="N62" i="2"/>
  <c r="N20" i="2"/>
  <c r="N63" i="2"/>
  <c r="N21" i="2"/>
  <c r="N64" i="2"/>
  <c r="N22" i="2"/>
  <c r="N65" i="2"/>
  <c r="N23" i="2"/>
  <c r="N66" i="2"/>
  <c r="N24" i="2"/>
  <c r="N67" i="2"/>
  <c r="N25" i="2"/>
  <c r="N68" i="2"/>
  <c r="N4" i="2"/>
  <c r="O47" i="2" l="1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M12" i="3" l="1"/>
  <c r="L12" i="3"/>
  <c r="K12" i="3"/>
  <c r="J12" i="3"/>
  <c r="I12" i="3"/>
  <c r="M88" i="2" l="1"/>
  <c r="L88" i="2"/>
  <c r="K88" i="2"/>
  <c r="J88" i="2"/>
  <c r="I88" i="2"/>
  <c r="H88" i="2"/>
  <c r="G88" i="2"/>
  <c r="F88" i="2"/>
  <c r="E88" i="2"/>
  <c r="D88" i="2"/>
  <c r="C88" i="2"/>
  <c r="M87" i="2"/>
  <c r="L87" i="2"/>
  <c r="K87" i="2"/>
  <c r="J87" i="2"/>
  <c r="I87" i="2"/>
  <c r="H87" i="2"/>
  <c r="G87" i="2"/>
  <c r="F87" i="2"/>
  <c r="E87" i="2"/>
  <c r="D87" i="2"/>
  <c r="C87" i="2"/>
  <c r="M86" i="2"/>
  <c r="L86" i="2"/>
  <c r="K86" i="2"/>
  <c r="J86" i="2"/>
  <c r="I86" i="2"/>
  <c r="H86" i="2"/>
  <c r="G86" i="2"/>
  <c r="F86" i="2"/>
  <c r="E86" i="2"/>
  <c r="D86" i="2"/>
  <c r="C86" i="2"/>
  <c r="M85" i="2"/>
  <c r="L85" i="2"/>
  <c r="K85" i="2"/>
  <c r="J85" i="2"/>
  <c r="I85" i="2"/>
  <c r="H85" i="2"/>
  <c r="G85" i="2"/>
  <c r="F85" i="2"/>
  <c r="E85" i="2"/>
  <c r="D85" i="2"/>
  <c r="C85" i="2"/>
  <c r="M84" i="2"/>
  <c r="L84" i="2"/>
  <c r="K84" i="2"/>
  <c r="J84" i="2"/>
  <c r="I84" i="2"/>
  <c r="H84" i="2"/>
  <c r="G84" i="2"/>
  <c r="F84" i="2"/>
  <c r="E84" i="2"/>
  <c r="D84" i="2"/>
  <c r="C84" i="2"/>
  <c r="M83" i="2"/>
  <c r="L83" i="2"/>
  <c r="K83" i="2"/>
  <c r="J83" i="2"/>
  <c r="I83" i="2"/>
  <c r="H83" i="2"/>
  <c r="G83" i="2"/>
  <c r="F83" i="2"/>
  <c r="E83" i="2"/>
  <c r="D83" i="2"/>
  <c r="C83" i="2"/>
  <c r="M82" i="2"/>
  <c r="L82" i="2"/>
  <c r="K82" i="2"/>
  <c r="J82" i="2"/>
  <c r="I82" i="2"/>
  <c r="H82" i="2"/>
  <c r="G82" i="2"/>
  <c r="F82" i="2"/>
  <c r="E82" i="2"/>
  <c r="D82" i="2"/>
  <c r="C82" i="2"/>
  <c r="M81" i="2"/>
  <c r="L81" i="2"/>
  <c r="K81" i="2"/>
  <c r="J81" i="2"/>
  <c r="I81" i="2"/>
  <c r="H81" i="2"/>
  <c r="G81" i="2"/>
  <c r="F81" i="2"/>
  <c r="E81" i="2"/>
  <c r="D81" i="2"/>
  <c r="C81" i="2"/>
  <c r="M80" i="2"/>
  <c r="L80" i="2"/>
  <c r="K80" i="2"/>
  <c r="J80" i="2"/>
  <c r="I80" i="2"/>
  <c r="H80" i="2"/>
  <c r="G80" i="2"/>
  <c r="F80" i="2"/>
  <c r="E80" i="2"/>
  <c r="D80" i="2"/>
  <c r="C80" i="2"/>
  <c r="M79" i="2"/>
  <c r="L79" i="2"/>
  <c r="K79" i="2"/>
  <c r="J79" i="2"/>
  <c r="I79" i="2"/>
  <c r="H79" i="2"/>
  <c r="G79" i="2"/>
  <c r="F79" i="2"/>
  <c r="E79" i="2"/>
  <c r="D79" i="2"/>
  <c r="C79" i="2"/>
  <c r="M78" i="2"/>
  <c r="L78" i="2"/>
  <c r="K78" i="2"/>
  <c r="J78" i="2"/>
  <c r="I78" i="2"/>
  <c r="H78" i="2"/>
  <c r="G78" i="2"/>
  <c r="F78" i="2"/>
  <c r="E78" i="2"/>
  <c r="D78" i="2"/>
  <c r="C78" i="2"/>
  <c r="M77" i="2"/>
  <c r="L77" i="2"/>
  <c r="K77" i="2"/>
  <c r="J77" i="2"/>
  <c r="I77" i="2"/>
  <c r="H77" i="2"/>
  <c r="G77" i="2"/>
  <c r="F77" i="2"/>
  <c r="E77" i="2"/>
  <c r="D77" i="2"/>
  <c r="C77" i="2"/>
  <c r="M76" i="2"/>
  <c r="L76" i="2"/>
  <c r="K76" i="2"/>
  <c r="J76" i="2"/>
  <c r="I76" i="2"/>
  <c r="H76" i="2"/>
  <c r="G76" i="2"/>
  <c r="F76" i="2"/>
  <c r="E76" i="2"/>
  <c r="D76" i="2"/>
  <c r="C76" i="2"/>
  <c r="M75" i="2"/>
  <c r="L75" i="2"/>
  <c r="K75" i="2"/>
  <c r="J75" i="2"/>
  <c r="I75" i="2"/>
  <c r="H75" i="2"/>
  <c r="G75" i="2"/>
  <c r="F75" i="2"/>
  <c r="E75" i="2"/>
  <c r="D75" i="2"/>
  <c r="C75" i="2"/>
  <c r="M74" i="2"/>
  <c r="L74" i="2"/>
  <c r="K74" i="2"/>
  <c r="J74" i="2"/>
  <c r="I74" i="2"/>
  <c r="H74" i="2"/>
  <c r="G74" i="2"/>
  <c r="F74" i="2"/>
  <c r="E74" i="2"/>
  <c r="D74" i="2"/>
  <c r="C74" i="2"/>
  <c r="M73" i="2"/>
  <c r="L73" i="2"/>
  <c r="K73" i="2"/>
  <c r="J73" i="2"/>
  <c r="I73" i="2"/>
  <c r="H73" i="2"/>
  <c r="G73" i="2"/>
  <c r="F73" i="2"/>
  <c r="E73" i="2"/>
  <c r="D73" i="2"/>
  <c r="C73" i="2"/>
  <c r="M72" i="2"/>
  <c r="L72" i="2"/>
  <c r="K72" i="2"/>
  <c r="J72" i="2"/>
  <c r="I72" i="2"/>
  <c r="H72" i="2"/>
  <c r="G72" i="2"/>
  <c r="F72" i="2"/>
  <c r="E72" i="2"/>
  <c r="D72" i="2"/>
  <c r="C72" i="2"/>
  <c r="M71" i="2"/>
  <c r="L71" i="2"/>
  <c r="K71" i="2"/>
  <c r="J71" i="2"/>
  <c r="I71" i="2"/>
  <c r="H71" i="2"/>
  <c r="G71" i="2"/>
  <c r="F71" i="2"/>
  <c r="E71" i="2"/>
  <c r="D71" i="2"/>
  <c r="C71" i="2"/>
  <c r="M70" i="2"/>
  <c r="L70" i="2"/>
  <c r="K70" i="2"/>
  <c r="J70" i="2"/>
  <c r="I70" i="2"/>
  <c r="H70" i="2"/>
  <c r="G70" i="2"/>
  <c r="F70" i="2"/>
  <c r="E70" i="2"/>
  <c r="D70" i="2"/>
  <c r="C70" i="2"/>
  <c r="M69" i="2"/>
  <c r="L69" i="2"/>
  <c r="K69" i="2"/>
  <c r="J69" i="2"/>
  <c r="I69" i="2"/>
  <c r="H69" i="2"/>
  <c r="G69" i="2"/>
  <c r="F69" i="2"/>
  <c r="E69" i="2"/>
  <c r="D69" i="2"/>
  <c r="C69" i="2"/>
  <c r="M46" i="2"/>
  <c r="L46" i="2"/>
  <c r="K46" i="2"/>
  <c r="J46" i="2"/>
  <c r="I46" i="2"/>
  <c r="H46" i="2"/>
  <c r="G46" i="2"/>
  <c r="F46" i="2"/>
  <c r="E46" i="2"/>
  <c r="D46" i="2"/>
  <c r="C46" i="2"/>
  <c r="M45" i="2"/>
  <c r="L45" i="2"/>
  <c r="K45" i="2"/>
  <c r="J45" i="2"/>
  <c r="I45" i="2"/>
  <c r="H45" i="2"/>
  <c r="G45" i="2"/>
  <c r="F45" i="2"/>
  <c r="E45" i="2"/>
  <c r="D45" i="2"/>
  <c r="C45" i="2"/>
  <c r="M44" i="2"/>
  <c r="L44" i="2"/>
  <c r="K44" i="2"/>
  <c r="J44" i="2"/>
  <c r="I44" i="2"/>
  <c r="H44" i="2"/>
  <c r="G44" i="2"/>
  <c r="F44" i="2"/>
  <c r="E44" i="2"/>
  <c r="D44" i="2"/>
  <c r="C44" i="2"/>
  <c r="M43" i="2"/>
  <c r="L43" i="2"/>
  <c r="K43" i="2"/>
  <c r="J43" i="2"/>
  <c r="I43" i="2"/>
  <c r="H43" i="2"/>
  <c r="G43" i="2"/>
  <c r="F43" i="2"/>
  <c r="E43" i="2"/>
  <c r="D43" i="2"/>
  <c r="C43" i="2"/>
  <c r="M42" i="2"/>
  <c r="L42" i="2"/>
  <c r="K42" i="2"/>
  <c r="J42" i="2"/>
  <c r="I42" i="2"/>
  <c r="H42" i="2"/>
  <c r="G42" i="2"/>
  <c r="F42" i="2"/>
  <c r="E42" i="2"/>
  <c r="D42" i="2"/>
  <c r="C42" i="2"/>
  <c r="M41" i="2"/>
  <c r="L41" i="2"/>
  <c r="K41" i="2"/>
  <c r="J41" i="2"/>
  <c r="I41" i="2"/>
  <c r="H41" i="2"/>
  <c r="G41" i="2"/>
  <c r="F41" i="2"/>
  <c r="E41" i="2"/>
  <c r="D41" i="2"/>
  <c r="C41" i="2"/>
  <c r="M40" i="2"/>
  <c r="L40" i="2"/>
  <c r="K40" i="2"/>
  <c r="J40" i="2"/>
  <c r="I40" i="2"/>
  <c r="H40" i="2"/>
  <c r="G40" i="2"/>
  <c r="F40" i="2"/>
  <c r="E40" i="2"/>
  <c r="D40" i="2"/>
  <c r="C40" i="2"/>
  <c r="M39" i="2"/>
  <c r="L39" i="2"/>
  <c r="K39" i="2"/>
  <c r="J39" i="2"/>
  <c r="I39" i="2"/>
  <c r="H39" i="2"/>
  <c r="G39" i="2"/>
  <c r="F39" i="2"/>
  <c r="E39" i="2"/>
  <c r="D39" i="2"/>
  <c r="C39" i="2"/>
  <c r="M38" i="2"/>
  <c r="L38" i="2"/>
  <c r="K38" i="2"/>
  <c r="J38" i="2"/>
  <c r="I38" i="2"/>
  <c r="H38" i="2"/>
  <c r="G38" i="2"/>
  <c r="F38" i="2"/>
  <c r="E38" i="2"/>
  <c r="D38" i="2"/>
  <c r="C38" i="2"/>
  <c r="M37" i="2"/>
  <c r="L37" i="2"/>
  <c r="K37" i="2"/>
  <c r="J37" i="2"/>
  <c r="I37" i="2"/>
  <c r="H37" i="2"/>
  <c r="G37" i="2"/>
  <c r="F37" i="2"/>
  <c r="E37" i="2"/>
  <c r="D37" i="2"/>
  <c r="C37" i="2"/>
  <c r="M36" i="2"/>
  <c r="L36" i="2"/>
  <c r="K36" i="2"/>
  <c r="J36" i="2"/>
  <c r="I36" i="2"/>
  <c r="H36" i="2"/>
  <c r="G36" i="2"/>
  <c r="F36" i="2"/>
  <c r="E36" i="2"/>
  <c r="D36" i="2"/>
  <c r="C36" i="2"/>
  <c r="M35" i="2"/>
  <c r="L35" i="2"/>
  <c r="K35" i="2"/>
  <c r="J35" i="2"/>
  <c r="I35" i="2"/>
  <c r="H35" i="2"/>
  <c r="G35" i="2"/>
  <c r="F35" i="2"/>
  <c r="E35" i="2"/>
  <c r="D35" i="2"/>
  <c r="C35" i="2"/>
  <c r="M34" i="2"/>
  <c r="L34" i="2"/>
  <c r="K34" i="2"/>
  <c r="J34" i="2"/>
  <c r="I34" i="2"/>
  <c r="H34" i="2"/>
  <c r="G34" i="2"/>
  <c r="F34" i="2"/>
  <c r="E34" i="2"/>
  <c r="D34" i="2"/>
  <c r="C34" i="2"/>
  <c r="M33" i="2"/>
  <c r="L33" i="2"/>
  <c r="K33" i="2"/>
  <c r="J33" i="2"/>
  <c r="I33" i="2"/>
  <c r="H33" i="2"/>
  <c r="G33" i="2"/>
  <c r="F33" i="2"/>
  <c r="E33" i="2"/>
  <c r="D33" i="2"/>
  <c r="C33" i="2"/>
  <c r="M32" i="2"/>
  <c r="L32" i="2"/>
  <c r="K32" i="2"/>
  <c r="J32" i="2"/>
  <c r="I32" i="2"/>
  <c r="H32" i="2"/>
  <c r="G32" i="2"/>
  <c r="F32" i="2"/>
  <c r="E32" i="2"/>
  <c r="D32" i="2"/>
  <c r="C32" i="2"/>
  <c r="M31" i="2"/>
  <c r="L31" i="2"/>
  <c r="K31" i="2"/>
  <c r="J31" i="2"/>
  <c r="I31" i="2"/>
  <c r="H31" i="2"/>
  <c r="G31" i="2"/>
  <c r="F31" i="2"/>
  <c r="E31" i="2"/>
  <c r="D31" i="2"/>
  <c r="C31" i="2"/>
  <c r="M30" i="2"/>
  <c r="L30" i="2"/>
  <c r="K30" i="2"/>
  <c r="J30" i="2"/>
  <c r="I30" i="2"/>
  <c r="H30" i="2"/>
  <c r="G30" i="2"/>
  <c r="F30" i="2"/>
  <c r="E30" i="2"/>
  <c r="D30" i="2"/>
  <c r="C30" i="2"/>
  <c r="M29" i="2"/>
  <c r="L29" i="2"/>
  <c r="K29" i="2"/>
  <c r="J29" i="2"/>
  <c r="I29" i="2"/>
  <c r="H29" i="2"/>
  <c r="G29" i="2"/>
  <c r="F29" i="2"/>
  <c r="E29" i="2"/>
  <c r="D29" i="2"/>
  <c r="C29" i="2"/>
  <c r="M28" i="2"/>
  <c r="L28" i="2"/>
  <c r="K28" i="2"/>
  <c r="J28" i="2"/>
  <c r="I28" i="2"/>
  <c r="H28" i="2"/>
  <c r="G28" i="2"/>
  <c r="F28" i="2"/>
  <c r="E28" i="2"/>
  <c r="D28" i="2"/>
  <c r="C28" i="2"/>
  <c r="M27" i="2"/>
  <c r="L27" i="2"/>
  <c r="K27" i="2"/>
  <c r="J27" i="2"/>
  <c r="I27" i="2"/>
  <c r="H27" i="2"/>
  <c r="G27" i="2"/>
  <c r="F27" i="2"/>
  <c r="E27" i="2"/>
  <c r="D27" i="2"/>
  <c r="C27" i="2"/>
  <c r="M26" i="2"/>
  <c r="L26" i="2"/>
  <c r="K26" i="2"/>
  <c r="J26" i="2"/>
  <c r="I26" i="2"/>
  <c r="H26" i="2"/>
  <c r="G26" i="2"/>
  <c r="F26" i="2"/>
  <c r="E26" i="2"/>
  <c r="D26" i="2"/>
  <c r="C26" i="2"/>
  <c r="B46" i="2" l="1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Q47" i="2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Q62" i="2" s="1"/>
  <c r="Q63" i="2" s="1"/>
  <c r="Q64" i="2" s="1"/>
  <c r="Q65" i="2" s="1"/>
  <c r="Q66" i="2" s="1"/>
  <c r="Q67" i="2" s="1"/>
  <c r="Q68" i="2" s="1"/>
  <c r="Q69" i="2" s="1"/>
  <c r="Q70" i="2" s="1"/>
  <c r="Q71" i="2" s="1"/>
  <c r="Q72" i="2" s="1"/>
  <c r="Q73" i="2" s="1"/>
  <c r="Q74" i="2" s="1"/>
  <c r="Q75" i="2" s="1"/>
  <c r="Q76" i="2" s="1"/>
  <c r="Q77" i="2" s="1"/>
  <c r="Q78" i="2" s="1"/>
  <c r="Q79" i="2" s="1"/>
  <c r="Q80" i="2" s="1"/>
  <c r="Q81" i="2" s="1"/>
  <c r="Q82" i="2" s="1"/>
  <c r="Q83" i="2" s="1"/>
  <c r="Q84" i="2" s="1"/>
  <c r="Q85" i="2" s="1"/>
  <c r="Q86" i="2" s="1"/>
  <c r="Q87" i="2" s="1"/>
  <c r="Q88" i="2" s="1"/>
  <c r="Q5" i="2"/>
  <c r="Q6" i="2" s="1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M14" i="2"/>
  <c r="M57" i="2"/>
  <c r="M15" i="2"/>
  <c r="M58" i="2"/>
  <c r="M16" i="2"/>
  <c r="M59" i="2"/>
  <c r="M17" i="2"/>
  <c r="M60" i="2"/>
  <c r="M18" i="2"/>
  <c r="M61" i="2"/>
  <c r="M19" i="2"/>
  <c r="M62" i="2"/>
  <c r="M20" i="2"/>
  <c r="M63" i="2"/>
  <c r="M21" i="2"/>
  <c r="M64" i="2"/>
  <c r="M22" i="2"/>
  <c r="M65" i="2"/>
  <c r="M23" i="2"/>
  <c r="M66" i="2"/>
  <c r="M24" i="2"/>
  <c r="M67" i="2"/>
  <c r="M25" i="2"/>
  <c r="M68" i="2"/>
  <c r="M51" i="2"/>
  <c r="M9" i="2"/>
  <c r="M52" i="2"/>
  <c r="M10" i="2"/>
  <c r="M53" i="2"/>
  <c r="M11" i="2"/>
  <c r="M54" i="2"/>
  <c r="M12" i="2"/>
  <c r="M55" i="2"/>
  <c r="M13" i="2"/>
  <c r="M56" i="2"/>
  <c r="M47" i="2"/>
  <c r="F41" i="1"/>
  <c r="M5" i="2" s="1"/>
  <c r="G41" i="1"/>
  <c r="M48" i="2" s="1"/>
  <c r="M6" i="2"/>
  <c r="M49" i="2"/>
  <c r="M7" i="2"/>
  <c r="M50" i="2"/>
  <c r="M8" i="2"/>
  <c r="M4" i="2"/>
  <c r="I47" i="2"/>
  <c r="F37" i="1"/>
  <c r="I5" i="2" s="1"/>
  <c r="G37" i="1"/>
  <c r="I48" i="2" s="1"/>
  <c r="I6" i="2"/>
  <c r="I49" i="2"/>
  <c r="I7" i="2"/>
  <c r="I50" i="2"/>
  <c r="I8" i="2"/>
  <c r="I51" i="2"/>
  <c r="I9" i="2"/>
  <c r="I52" i="2"/>
  <c r="I10" i="2"/>
  <c r="I53" i="2"/>
  <c r="I11" i="2"/>
  <c r="I54" i="2"/>
  <c r="I12" i="2"/>
  <c r="I55" i="2"/>
  <c r="I13" i="2"/>
  <c r="I56" i="2"/>
  <c r="I14" i="2"/>
  <c r="I57" i="2"/>
  <c r="I15" i="2"/>
  <c r="I58" i="2"/>
  <c r="I16" i="2"/>
  <c r="I59" i="2"/>
  <c r="I17" i="2"/>
  <c r="I60" i="2"/>
  <c r="I18" i="2"/>
  <c r="I61" i="2"/>
  <c r="I19" i="2"/>
  <c r="I62" i="2"/>
  <c r="I20" i="2"/>
  <c r="I63" i="2"/>
  <c r="I21" i="2"/>
  <c r="I64" i="2"/>
  <c r="I22" i="2"/>
  <c r="I65" i="2"/>
  <c r="I23" i="2"/>
  <c r="I66" i="2"/>
  <c r="I24" i="2"/>
  <c r="I67" i="2"/>
  <c r="I25" i="2"/>
  <c r="I68" i="2"/>
  <c r="I4" i="2"/>
  <c r="H47" i="2"/>
  <c r="F36" i="1"/>
  <c r="H5" i="2" s="1"/>
  <c r="G36" i="1"/>
  <c r="H48" i="2" s="1"/>
  <c r="H6" i="2"/>
  <c r="H49" i="2"/>
  <c r="H7" i="2"/>
  <c r="H50" i="2"/>
  <c r="H8" i="2"/>
  <c r="H51" i="2"/>
  <c r="H9" i="2"/>
  <c r="H52" i="2"/>
  <c r="H10" i="2"/>
  <c r="H53" i="2"/>
  <c r="H11" i="2"/>
  <c r="H54" i="2"/>
  <c r="H12" i="2"/>
  <c r="H55" i="2"/>
  <c r="H13" i="2"/>
  <c r="H56" i="2"/>
  <c r="H14" i="2"/>
  <c r="H57" i="2"/>
  <c r="H15" i="2"/>
  <c r="H58" i="2"/>
  <c r="H16" i="2"/>
  <c r="H59" i="2"/>
  <c r="H17" i="2"/>
  <c r="H60" i="2"/>
  <c r="H18" i="2"/>
  <c r="H61" i="2"/>
  <c r="H19" i="2"/>
  <c r="H62" i="2"/>
  <c r="H20" i="2"/>
  <c r="H63" i="2"/>
  <c r="H21" i="2"/>
  <c r="H64" i="2"/>
  <c r="H22" i="2"/>
  <c r="H65" i="2"/>
  <c r="H23" i="2"/>
  <c r="H66" i="2"/>
  <c r="H24" i="2"/>
  <c r="H67" i="2"/>
  <c r="H25" i="2"/>
  <c r="H68" i="2"/>
  <c r="H4" i="2"/>
  <c r="G47" i="2"/>
  <c r="F35" i="1"/>
  <c r="G5" i="2" s="1"/>
  <c r="G35" i="1"/>
  <c r="G48" i="2" s="1"/>
  <c r="G6" i="2"/>
  <c r="G49" i="2"/>
  <c r="G7" i="2"/>
  <c r="G50" i="2"/>
  <c r="G8" i="2"/>
  <c r="G51" i="2"/>
  <c r="G9" i="2"/>
  <c r="G52" i="2"/>
  <c r="G10" i="2"/>
  <c r="G53" i="2"/>
  <c r="G11" i="2"/>
  <c r="G54" i="2"/>
  <c r="G12" i="2"/>
  <c r="G55" i="2"/>
  <c r="G13" i="2"/>
  <c r="G56" i="2"/>
  <c r="G14" i="2"/>
  <c r="G57" i="2"/>
  <c r="G15" i="2"/>
  <c r="G58" i="2"/>
  <c r="G16" i="2"/>
  <c r="G59" i="2"/>
  <c r="G17" i="2"/>
  <c r="G60" i="2"/>
  <c r="G18" i="2"/>
  <c r="G61" i="2"/>
  <c r="G19" i="2"/>
  <c r="G62" i="2"/>
  <c r="G20" i="2"/>
  <c r="G63" i="2"/>
  <c r="G21" i="2"/>
  <c r="G64" i="2"/>
  <c r="G22" i="2"/>
  <c r="G65" i="2"/>
  <c r="G23" i="2"/>
  <c r="G66" i="2"/>
  <c r="G24" i="2"/>
  <c r="G67" i="2"/>
  <c r="G25" i="2"/>
  <c r="G68" i="2"/>
  <c r="G4" i="2"/>
  <c r="D47" i="2"/>
  <c r="F32" i="1"/>
  <c r="D5" i="2" s="1"/>
  <c r="G32" i="1"/>
  <c r="D48" i="2" s="1"/>
  <c r="D6" i="2"/>
  <c r="D49" i="2"/>
  <c r="D7" i="2"/>
  <c r="D50" i="2"/>
  <c r="D8" i="2"/>
  <c r="D51" i="2"/>
  <c r="D9" i="2"/>
  <c r="D52" i="2"/>
  <c r="D10" i="2"/>
  <c r="D53" i="2"/>
  <c r="D11" i="2"/>
  <c r="D54" i="2"/>
  <c r="D12" i="2"/>
  <c r="D55" i="2"/>
  <c r="D13" i="2"/>
  <c r="D56" i="2"/>
  <c r="D14" i="2"/>
  <c r="D57" i="2"/>
  <c r="D15" i="2"/>
  <c r="D58" i="2"/>
  <c r="D16" i="2"/>
  <c r="D59" i="2"/>
  <c r="D17" i="2"/>
  <c r="D60" i="2"/>
  <c r="D18" i="2"/>
  <c r="D61" i="2"/>
  <c r="D19" i="2"/>
  <c r="D62" i="2"/>
  <c r="D20" i="2"/>
  <c r="D63" i="2"/>
  <c r="D21" i="2"/>
  <c r="D64" i="2"/>
  <c r="D22" i="2"/>
  <c r="D65" i="2"/>
  <c r="D23" i="2"/>
  <c r="D66" i="2"/>
  <c r="D24" i="2"/>
  <c r="D67" i="2"/>
  <c r="D25" i="2"/>
  <c r="D68" i="2"/>
  <c r="D4" i="2"/>
  <c r="F31" i="1"/>
  <c r="F39" i="1" s="1"/>
  <c r="G31" i="1"/>
  <c r="G39" i="1" s="1"/>
  <c r="B4" i="3" l="1"/>
  <c r="D10" i="3" s="1"/>
  <c r="L66" i="2"/>
  <c r="F66" i="2"/>
  <c r="K66" i="2"/>
  <c r="E66" i="2"/>
  <c r="C66" i="2"/>
  <c r="K65" i="2"/>
  <c r="E65" i="2"/>
  <c r="L65" i="2"/>
  <c r="F65" i="2"/>
  <c r="C65" i="2"/>
  <c r="K63" i="2"/>
  <c r="E63" i="2"/>
  <c r="L63" i="2"/>
  <c r="F63" i="2"/>
  <c r="C63" i="2"/>
  <c r="K59" i="2"/>
  <c r="E59" i="2"/>
  <c r="L59" i="2"/>
  <c r="F59" i="2"/>
  <c r="C59" i="2"/>
  <c r="K55" i="2"/>
  <c r="E55" i="2"/>
  <c r="L55" i="2"/>
  <c r="F55" i="2"/>
  <c r="C55" i="2"/>
  <c r="K53" i="2"/>
  <c r="E53" i="2"/>
  <c r="F53" i="2"/>
  <c r="L53" i="2"/>
  <c r="C53" i="2"/>
  <c r="K49" i="2"/>
  <c r="E49" i="2"/>
  <c r="F49" i="2"/>
  <c r="L49" i="2"/>
  <c r="C49" i="2"/>
  <c r="K47" i="2"/>
  <c r="E47" i="2"/>
  <c r="F47" i="2"/>
  <c r="L47" i="2"/>
  <c r="C47" i="2"/>
  <c r="L4" i="2"/>
  <c r="F4" i="2"/>
  <c r="K4" i="2"/>
  <c r="E4" i="2"/>
  <c r="C4" i="2"/>
  <c r="K24" i="2"/>
  <c r="L24" i="2"/>
  <c r="F24" i="2"/>
  <c r="E24" i="2"/>
  <c r="C24" i="2"/>
  <c r="E22" i="2"/>
  <c r="L22" i="2"/>
  <c r="F22" i="2"/>
  <c r="K22" i="2"/>
  <c r="C22" i="2"/>
  <c r="E20" i="2"/>
  <c r="K20" i="2"/>
  <c r="L20" i="2"/>
  <c r="F20" i="2"/>
  <c r="C20" i="2"/>
  <c r="L18" i="2"/>
  <c r="F18" i="2"/>
  <c r="K18" i="2"/>
  <c r="E18" i="2"/>
  <c r="C18" i="2"/>
  <c r="K16" i="2"/>
  <c r="E16" i="2"/>
  <c r="L16" i="2"/>
  <c r="F16" i="2"/>
  <c r="C16" i="2"/>
  <c r="L14" i="2"/>
  <c r="F14" i="2"/>
  <c r="K14" i="2"/>
  <c r="E14" i="2"/>
  <c r="C14" i="2"/>
  <c r="E12" i="2"/>
  <c r="K12" i="2"/>
  <c r="L12" i="2"/>
  <c r="F12" i="2"/>
  <c r="C12" i="2"/>
  <c r="L10" i="2"/>
  <c r="F10" i="2"/>
  <c r="K10" i="2"/>
  <c r="E10" i="2"/>
  <c r="C10" i="2"/>
  <c r="K8" i="2"/>
  <c r="E8" i="2"/>
  <c r="L8" i="2"/>
  <c r="F8" i="2"/>
  <c r="C8" i="2"/>
  <c r="E6" i="2"/>
  <c r="L6" i="2"/>
  <c r="F6" i="2"/>
  <c r="K6" i="2"/>
  <c r="C6" i="2"/>
  <c r="L64" i="2"/>
  <c r="F64" i="2"/>
  <c r="K64" i="2"/>
  <c r="E64" i="2"/>
  <c r="C64" i="2"/>
  <c r="L60" i="2"/>
  <c r="F60" i="2"/>
  <c r="K60" i="2"/>
  <c r="E60" i="2"/>
  <c r="C60" i="2"/>
  <c r="L56" i="2"/>
  <c r="F56" i="2"/>
  <c r="K56" i="2"/>
  <c r="E56" i="2"/>
  <c r="C56" i="2"/>
  <c r="L54" i="2"/>
  <c r="F54" i="2"/>
  <c r="K54" i="2"/>
  <c r="E54" i="2"/>
  <c r="C54" i="2"/>
  <c r="L52" i="2"/>
  <c r="F52" i="2"/>
  <c r="K52" i="2"/>
  <c r="E52" i="2"/>
  <c r="C52" i="2"/>
  <c r="L50" i="2"/>
  <c r="F50" i="2"/>
  <c r="K50" i="2"/>
  <c r="E50" i="2"/>
  <c r="C50" i="2"/>
  <c r="G40" i="1"/>
  <c r="L48" i="2" s="1"/>
  <c r="F48" i="2"/>
  <c r="K48" i="2"/>
  <c r="E48" i="2"/>
  <c r="C48" i="2"/>
  <c r="L68" i="2"/>
  <c r="F68" i="2"/>
  <c r="K68" i="2"/>
  <c r="E68" i="2"/>
  <c r="C68" i="2"/>
  <c r="L62" i="2"/>
  <c r="F62" i="2"/>
  <c r="K62" i="2"/>
  <c r="E62" i="2"/>
  <c r="C62" i="2"/>
  <c r="L58" i="2"/>
  <c r="F58" i="2"/>
  <c r="K58" i="2"/>
  <c r="E58" i="2"/>
  <c r="C58" i="2"/>
  <c r="L25" i="2"/>
  <c r="F25" i="2"/>
  <c r="K25" i="2"/>
  <c r="E25" i="2"/>
  <c r="C25" i="2"/>
  <c r="L23" i="2"/>
  <c r="F23" i="2"/>
  <c r="K23" i="2"/>
  <c r="E23" i="2"/>
  <c r="C23" i="2"/>
  <c r="L21" i="2"/>
  <c r="F21" i="2"/>
  <c r="K21" i="2"/>
  <c r="E21" i="2"/>
  <c r="C21" i="2"/>
  <c r="L19" i="2"/>
  <c r="F19" i="2"/>
  <c r="K19" i="2"/>
  <c r="E19" i="2"/>
  <c r="C19" i="2"/>
  <c r="L17" i="2"/>
  <c r="F17" i="2"/>
  <c r="K17" i="2"/>
  <c r="E17" i="2"/>
  <c r="C17" i="2"/>
  <c r="L15" i="2"/>
  <c r="F15" i="2"/>
  <c r="K15" i="2"/>
  <c r="E15" i="2"/>
  <c r="C15" i="2"/>
  <c r="L13" i="2"/>
  <c r="F13" i="2"/>
  <c r="K13" i="2"/>
  <c r="E13" i="2"/>
  <c r="C13" i="2"/>
  <c r="L11" i="2"/>
  <c r="F11" i="2"/>
  <c r="K11" i="2"/>
  <c r="E11" i="2"/>
  <c r="C11" i="2"/>
  <c r="L9" i="2"/>
  <c r="F9" i="2"/>
  <c r="K9" i="2"/>
  <c r="E9" i="2"/>
  <c r="C9" i="2"/>
  <c r="L7" i="2"/>
  <c r="F7" i="2"/>
  <c r="K7" i="2"/>
  <c r="E7" i="2"/>
  <c r="C7" i="2"/>
  <c r="F40" i="1"/>
  <c r="L5" i="2" s="1"/>
  <c r="F5" i="2"/>
  <c r="K5" i="2"/>
  <c r="E5" i="2"/>
  <c r="C5" i="2"/>
  <c r="K67" i="2"/>
  <c r="E67" i="2"/>
  <c r="F67" i="2"/>
  <c r="L67" i="2"/>
  <c r="C67" i="2"/>
  <c r="K61" i="2"/>
  <c r="E61" i="2"/>
  <c r="F61" i="2"/>
  <c r="L61" i="2"/>
  <c r="C61" i="2"/>
  <c r="K57" i="2"/>
  <c r="E57" i="2"/>
  <c r="L57" i="2"/>
  <c r="F57" i="2"/>
  <c r="C57" i="2"/>
  <c r="K51" i="2"/>
  <c r="E51" i="2"/>
  <c r="L51" i="2"/>
  <c r="F51" i="2"/>
  <c r="C51" i="2"/>
  <c r="J24" i="2"/>
  <c r="J14" i="2"/>
  <c r="J66" i="2"/>
  <c r="J62" i="2"/>
  <c r="J58" i="2"/>
  <c r="J54" i="2"/>
  <c r="J52" i="2"/>
  <c r="J50" i="2"/>
  <c r="G38" i="1"/>
  <c r="J48" i="2" s="1"/>
  <c r="J4" i="2"/>
  <c r="J20" i="2"/>
  <c r="J16" i="2"/>
  <c r="J8" i="2"/>
  <c r="J68" i="2"/>
  <c r="J64" i="2"/>
  <c r="J60" i="2"/>
  <c r="J56" i="2"/>
  <c r="J25" i="2"/>
  <c r="J23" i="2"/>
  <c r="J21" i="2"/>
  <c r="J19" i="2"/>
  <c r="J17" i="2"/>
  <c r="J15" i="2"/>
  <c r="J13" i="2"/>
  <c r="J11" i="2"/>
  <c r="J9" i="2"/>
  <c r="J7" i="2"/>
  <c r="F38" i="1"/>
  <c r="J5" i="2" s="1"/>
  <c r="J22" i="2"/>
  <c r="J18" i="2"/>
  <c r="J12" i="2"/>
  <c r="J10" i="2"/>
  <c r="J6" i="2"/>
  <c r="J67" i="2"/>
  <c r="J65" i="2"/>
  <c r="J63" i="2"/>
  <c r="J61" i="2"/>
  <c r="J59" i="2"/>
  <c r="J57" i="2"/>
  <c r="J55" i="2"/>
  <c r="J53" i="2"/>
  <c r="J51" i="2"/>
  <c r="J49" i="2"/>
  <c r="J47" i="2"/>
  <c r="B2" i="2"/>
  <c r="D20" i="3" l="1"/>
  <c r="C10" i="3"/>
  <c r="D15" i="3"/>
  <c r="C15" i="3"/>
  <c r="C17" i="3"/>
  <c r="C14" i="3"/>
  <c r="D13" i="3"/>
  <c r="C20" i="3"/>
  <c r="D11" i="3"/>
  <c r="D16" i="3"/>
  <c r="D18" i="3"/>
  <c r="D12" i="3"/>
  <c r="D14" i="3"/>
  <c r="C16" i="3"/>
  <c r="D17" i="3"/>
  <c r="C11" i="3"/>
  <c r="C13" i="3"/>
  <c r="D19" i="3"/>
  <c r="C19" i="3"/>
  <c r="C12" i="3"/>
  <c r="C18" i="3"/>
</calcChain>
</file>

<file path=xl/sharedStrings.xml><?xml version="1.0" encoding="utf-8"?>
<sst xmlns="http://schemas.openxmlformats.org/spreadsheetml/2006/main" count="477" uniqueCount="266">
  <si>
    <t>Выберите муниципалитет</t>
  </si>
  <si>
    <t>Расчетно-рекомендуемые параметры для формулы</t>
  </si>
  <si>
    <t>Наименование параметра</t>
  </si>
  <si>
    <t>городская местность</t>
  </si>
  <si>
    <t>сельская местность</t>
  </si>
  <si>
    <t>Общая рекомендация для Вас</t>
  </si>
  <si>
    <t>Базовая потребность в приобретении услуг (кроме ПК и медосмотров)</t>
  </si>
  <si>
    <t>Базовая потребность в приобретении услуг ПК</t>
  </si>
  <si>
    <t>Базовая потребность в приобретении услуг медосмотра, курсы по охране труда, иное обучение для допуска (за исключением повышения квалификации по профилю педагогической деятельности)</t>
  </si>
  <si>
    <t>размерность</t>
  </si>
  <si>
    <t>рублей/(кабинет*неделя)</t>
  </si>
  <si>
    <t>рублей за одного педагога (стоимость)</t>
  </si>
  <si>
    <t>Коэффициент привлечения дополнительных педагогических работников</t>
  </si>
  <si>
    <t>Коэффициент увеличения на прочий персонал</t>
  </si>
  <si>
    <t>Коэффициент отчислений по оплате труда</t>
  </si>
  <si>
    <t>Коэффициент отпускных</t>
  </si>
  <si>
    <t>Полезное использование помещений в неделю, часов</t>
  </si>
  <si>
    <t>Среднее количество ставок на одного педагога</t>
  </si>
  <si>
    <t>рублей/месяц</t>
  </si>
  <si>
    <t>Средняя целевая заработная плата педагогических работников в месяц на период</t>
  </si>
  <si>
    <t>ед.</t>
  </si>
  <si>
    <t>часов в неделю</t>
  </si>
  <si>
    <t>ставок на физлицо</t>
  </si>
  <si>
    <t>Ваш вариант (впишите)</t>
  </si>
  <si>
    <t>Наименование направленности</t>
  </si>
  <si>
    <t>техническая (робототехника)</t>
  </si>
  <si>
    <t>техническая (иная)</t>
  </si>
  <si>
    <t>физкультурно-спортивная</t>
  </si>
  <si>
    <t>художественная</t>
  </si>
  <si>
    <t>туристско-краеведческая</t>
  </si>
  <si>
    <t>социально-педагогическая</t>
  </si>
  <si>
    <t>естественнонаучная</t>
  </si>
  <si>
    <r>
      <t xml:space="preserve">Базовая потребность в приобретении услуг (кроме ПК и медосмотров)
</t>
    </r>
    <r>
      <rPr>
        <i/>
        <sz val="9"/>
        <color theme="1"/>
        <rFont val="Calibri"/>
        <family val="2"/>
        <charset val="204"/>
        <scheme val="minor"/>
      </rPr>
      <t>(без учета 10% электроэнергии и 50% тепловой энергии)</t>
    </r>
  </si>
  <si>
    <r>
      <t xml:space="preserve">Базовая потребность в приобретении услуг (кроме ПК и медосмотров)
</t>
    </r>
    <r>
      <rPr>
        <i/>
        <sz val="9"/>
        <color theme="1"/>
        <rFont val="Calibri"/>
        <family val="2"/>
        <charset val="204"/>
        <scheme val="minor"/>
      </rPr>
      <t>(с учетом 10% электроэнергии и 50% тепловой энергии)</t>
    </r>
  </si>
  <si>
    <t>№</t>
  </si>
  <si>
    <t>ед. измерения</t>
  </si>
  <si>
    <t>В строке указывается совокупный объем расходов организаций дополнительного образования на услуги по содержанию объектов недвижимого и особо ценного движимого имущества, включая проведение текущего ремонта и мероприятий по обеспечению санитарно-эпидемиологических требований, противопожарной безопасности, охранной сигнализации, приобретение расходных материалов, необходимых для организации предоставления образовательных услуг (используемых для обслуживания имущества)</t>
  </si>
  <si>
    <t>тыс. рублей</t>
  </si>
  <si>
    <t>Совокупные расходы на коммунальные услуги (всего)</t>
  </si>
  <si>
    <t>Совокупные расходы на приобретение 50% тепловой энергии и 10% элекроэнергии</t>
  </si>
  <si>
    <t>Средние расходы в расчете на одного педагога на приобретение услуг по повышению квалификации (если бесплатно обучаются, то возьмите рыночную цену, так как ФЗ-273 уже давно поменял этот принцип), плюс средние расходы на проживание и проезд (можете посчитать как "доля, обучающихся с выездом * расходы на этот выезд и пребывание). То есть указывайте "сколько стоит обучить одного педагога дополнительного образования"</t>
  </si>
  <si>
    <t>Средние расходы в расчете на одного педагога на медицинские осмотры, курсы по охране труда и пр. мероприятия, определяющие допуск к работе, в расчете на ОДИН год</t>
  </si>
  <si>
    <t>тыс. рублей в год</t>
  </si>
  <si>
    <t>Средние расходы в расчете на одного работника в год на компенсацию расходов на оплату стоимости проезда и провоза багажа к месту использования отпуска и обратно для работников и членов их семей (в случае, если на сегодняшний день указанные расходы включаются в объем обеспечения муниципального задания)</t>
  </si>
  <si>
    <t>Средняя заработная плата педагогических работников в месяц (известная нам как "целевая": в соответствии с требованиями Указа Президента Российской Федерации от 1 июня 2012 года №761)</t>
  </si>
  <si>
    <t>Общее число занятых ставок педагогов дополнительного образования</t>
  </si>
  <si>
    <t>ставок</t>
  </si>
  <si>
    <t>Число педагогов дополнительного образования за исключением внешних совместителей. Показывайте число физических лиц.</t>
  </si>
  <si>
    <t>человек</t>
  </si>
  <si>
    <t>Полное число ставок, занимаемых педагогами дополнительного образования, указанными выше (то есть за исключением внешних совместителей). Нам важно рассчитать сколько в среднем ставок приходится на одного педагогического работника</t>
  </si>
  <si>
    <t>Фонд оплаты труда (без начислений) педагогов дополнительного образования организаций дополнительного образования (всех)</t>
  </si>
  <si>
    <t>Фонд оплаты труда (без начислений) иных педагогических работников организаций дополнительного образования (всех, которые фактически обеспечивают реализацию программ дополнительного образования)</t>
  </si>
  <si>
    <t>Фонд оплаты труда (без начислений) иных работников (непедагогических) организаций дополнительного образования (всех, если нет "случайных" кадров)</t>
  </si>
  <si>
    <t>Число календарных дней отпуска у педагогических работников в муниципалитете</t>
  </si>
  <si>
    <t>дней</t>
  </si>
  <si>
    <t>Общее количество кабинетов, используемых организациями дополнительного образования для реализации программ дополнительного образования (учебных кабинетов)</t>
  </si>
  <si>
    <t>Комментарий по заполнению (будет указываться под Вашим муниципалитетом).</t>
  </si>
  <si>
    <t>удачной работы!</t>
  </si>
  <si>
    <t>i0</t>
  </si>
  <si>
    <t>i1</t>
  </si>
  <si>
    <t>i2</t>
  </si>
  <si>
    <t>i3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</si>
  <si>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</si>
  <si>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</si>
  <si>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</si>
  <si>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</si>
  <si>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</si>
  <si>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</si>
  <si>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</si>
  <si>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</si>
  <si>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</si>
  <si>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</si>
  <si>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</si>
  <si>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</si>
  <si>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</si>
  <si>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</si>
  <si>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</si>
  <si>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</si>
  <si>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</si>
  <si>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</si>
  <si>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</si>
  <si>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</si>
  <si>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</si>
  <si>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</si>
  <si>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</si>
  <si>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</si>
  <si>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</si>
  <si>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</si>
  <si>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</si>
  <si>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</si>
  <si>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</si>
  <si>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</si>
  <si>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</si>
  <si>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</si>
  <si>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</si>
  <si>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</si>
  <si>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</si>
  <si>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</si>
  <si>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</si>
  <si>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</si>
  <si>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</si>
  <si>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</si>
  <si>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</si>
  <si>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</si>
  <si>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</si>
  <si>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</si>
  <si>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</si>
  <si>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</si>
  <si>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</si>
  <si>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</si>
  <si>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</si>
  <si>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</si>
  <si>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</si>
  <si>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</si>
  <si>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</si>
  <si>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</si>
  <si>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</si>
  <si>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</si>
  <si>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</si>
  <si>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</si>
  <si>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</si>
  <si>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</si>
  <si>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</si>
  <si>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</si>
  <si>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</si>
  <si>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</si>
  <si>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</si>
  <si>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</si>
  <si>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</si>
  <si>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</si>
  <si>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</si>
  <si>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</si>
  <si>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</si>
  <si>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</si>
  <si>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</si>
  <si>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</si>
  <si>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</si>
  <si>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</si>
  <si>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</si>
  <si>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</si>
  <si>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</si>
  <si>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</si>
  <si>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</si>
  <si>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</si>
  <si>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</si>
  <si>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CJ</t>
  </si>
  <si>
    <t>город</t>
  </si>
  <si>
    <t>село</t>
  </si>
  <si>
    <t>Параметры реализуемой программы</t>
  </si>
  <si>
    <t>Программа 1</t>
  </si>
  <si>
    <t>Программа 2</t>
  </si>
  <si>
    <t>Программа 3</t>
  </si>
  <si>
    <t>Программа 4</t>
  </si>
  <si>
    <t>направленность (вид деятельности) программы</t>
  </si>
  <si>
    <t>продолжительность реализации в год, всего</t>
  </si>
  <si>
    <t>в рамках групповой работы с детьми</t>
  </si>
  <si>
    <t>число часов сопровождения группы дополнительным педагогическим работником</t>
  </si>
  <si>
    <t>минимальное число детей в группе</t>
  </si>
  <si>
    <t>максимальное число детей в группе</t>
  </si>
  <si>
    <t>тип местности</t>
  </si>
  <si>
    <t>из нее: в рамках индивидуальной работы с детьми (в соответсвии с учебным планом)</t>
  </si>
  <si>
    <r>
      <t xml:space="preserve">Общие параметры
</t>
    </r>
    <r>
      <rPr>
        <i/>
        <sz val="9"/>
        <color theme="1"/>
        <rFont val="Times New Roman"/>
        <family val="1"/>
        <charset val="204"/>
      </rPr>
      <t>(утверждение не требуется)</t>
    </r>
  </si>
  <si>
    <t>учет коммунальных расходов</t>
  </si>
  <si>
    <t>сертификат не покрывает 50% тепловой энергии и 10% электроэнергии (задание на платные услуги)</t>
  </si>
  <si>
    <t>число недель в месяце</t>
  </si>
  <si>
    <t>периодичность повышения квалификации</t>
  </si>
  <si>
    <t>число недель в году</t>
  </si>
  <si>
    <t>недель</t>
  </si>
  <si>
    <t>периодичность получения допуска (медосмотр)</t>
  </si>
  <si>
    <t>лет на одно ПК</t>
  </si>
  <si>
    <t>лет на один осмотр</t>
  </si>
  <si>
    <t>норма нагрузки на одного педагога дополнительного образования</t>
  </si>
  <si>
    <r>
      <t xml:space="preserve">Раздел имитационной оценки нормативной стоимости программ
</t>
    </r>
    <r>
      <rPr>
        <i/>
        <sz val="9"/>
        <color theme="1"/>
        <rFont val="Times New Roman"/>
        <family val="1"/>
        <charset val="204"/>
      </rPr>
      <t>(не учитываются оценки квалификации и интенсивности использования оборудования, которые пока будут иметь значения 1)</t>
    </r>
  </si>
  <si>
    <t>Нормативная стоимость (вся программа)</t>
  </si>
  <si>
    <t>Модуль 1</t>
  </si>
  <si>
    <t>Базовые расходы на коменсацию оплаты стоимости проезда и провоза багажа к месту использования отпуска и обратно для работников и членов их семей</t>
  </si>
  <si>
    <t>рублей на работника</t>
  </si>
  <si>
    <t>Средние расходы на компенсацию проезда</t>
  </si>
  <si>
    <r>
      <t>Базовые расходы на компенсацию оплаты стоимости проезда и провоза багажа к месту использования отпуска и обратно для работников и членов их семей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(рекомендуем не учитывать, установив значение равное нулю, а сами расходы перевести на иную цель)</t>
    </r>
  </si>
  <si>
    <t>раходы на оплату труда педперсонала</t>
  </si>
  <si>
    <t>раходы на оплату труда прочего персонала</t>
  </si>
  <si>
    <t>расходы на медосмотры и ПК</t>
  </si>
  <si>
    <t>расходы на прочие услуги</t>
  </si>
  <si>
    <t>расходы на средства обучения</t>
  </si>
  <si>
    <t>CI</t>
  </si>
  <si>
    <r>
      <t xml:space="preserve">Базовая потребность в приобретении услуг (кроме ПК и медосмотров)
</t>
    </r>
    <r>
      <rPr>
        <i/>
        <sz val="9"/>
        <color theme="1"/>
        <rFont val="Calibri"/>
        <family val="2"/>
        <charset val="204"/>
        <scheme val="minor"/>
      </rPr>
      <t>(исключены все коммунальные услуги)</t>
    </r>
  </si>
  <si>
    <t>Наименование/Расшифровка показателя (данные по расходам за весь 2018 год (январь - декабрь), плановые)</t>
  </si>
  <si>
    <r>
      <t xml:space="preserve">Базовая стоимость восполнения комплекта средств обучения
</t>
    </r>
    <r>
      <rPr>
        <i/>
        <sz val="8"/>
        <color theme="1"/>
        <rFont val="Times New Roman"/>
        <family val="1"/>
        <charset val="204"/>
      </rPr>
      <t>(определены с учетом оценки стоиомости комплекта обучения для "средней программы направленности" в соответствии с таблицей, представленной ниже)</t>
    </r>
  </si>
  <si>
    <t>рублей на кабинет</t>
  </si>
  <si>
    <t>недель в году реализации программ</t>
  </si>
  <si>
    <t>срок службы, лет**</t>
  </si>
  <si>
    <t>Стоимость, рублей*</t>
  </si>
  <si>
    <t>* если для обеспечения общего срока службы какие-то части комплекта нужно покупать несколько раз - учитывайте их несколько раз</t>
  </si>
  <si>
    <t>** период после которого необходимо полное обновление комплекта</t>
  </si>
  <si>
    <r>
      <t xml:space="preserve">Базовая стоимость комплекта средств обучения в расчете на полное оснащение одного кабинета
</t>
    </r>
    <r>
      <rPr>
        <i/>
        <sz val="8"/>
        <color theme="1"/>
        <rFont val="Times New Roman"/>
        <family val="1"/>
        <charset val="204"/>
      </rPr>
      <t>(определены с учетом оценки стоиомости комплекта обучения для "средней программы направленности" в соответствии с таблицей, представленной ниже)</t>
    </r>
  </si>
  <si>
    <t>Коэффициент отпускных и больничных</t>
  </si>
  <si>
    <t>Параметры могут быть использованы для принятия на уровне муниципалитета в целях расчета нормативной стоимости образовательных услуг</t>
  </si>
  <si>
    <t>Полезное использование одного кабинета в неделю, часов</t>
  </si>
  <si>
    <t>Алейск</t>
  </si>
  <si>
    <t>Алтайский</t>
  </si>
  <si>
    <t>Барнаул</t>
  </si>
  <si>
    <t>Баевский</t>
  </si>
  <si>
    <t>Белокуриха</t>
  </si>
  <si>
    <t>Бийск</t>
  </si>
  <si>
    <t>Бийский</t>
  </si>
  <si>
    <t>Благовещенский</t>
  </si>
  <si>
    <t>Быстроистокский</t>
  </si>
  <si>
    <t>Зявьяловский</t>
  </si>
  <si>
    <t>Заринск</t>
  </si>
  <si>
    <t>Змеиногорский</t>
  </si>
  <si>
    <t>Каменский</t>
  </si>
  <si>
    <t>Краснощековский</t>
  </si>
  <si>
    <t>Крутихинский</t>
  </si>
  <si>
    <t>Курьинский</t>
  </si>
  <si>
    <t>Кытмановский</t>
  </si>
  <si>
    <t>Михайловский</t>
  </si>
  <si>
    <t>Локтевский</t>
  </si>
  <si>
    <t>Новоалтайск</t>
  </si>
  <si>
    <t>Павловский</t>
  </si>
  <si>
    <t>Первомайский</t>
  </si>
  <si>
    <t>Поспелихинский</t>
  </si>
  <si>
    <t>Родинский</t>
  </si>
  <si>
    <t>Романовский</t>
  </si>
  <si>
    <t>Рубцовск</t>
  </si>
  <si>
    <t>Сибирский ЗАТО</t>
  </si>
  <si>
    <t>Смоленский</t>
  </si>
  <si>
    <t>Славгород</t>
  </si>
  <si>
    <t>Советский</t>
  </si>
  <si>
    <t>Солонешенский</t>
  </si>
  <si>
    <t>Третьяковский</t>
  </si>
  <si>
    <t>Тюменцевский</t>
  </si>
  <si>
    <t>Усть-Калманский</t>
  </si>
  <si>
    <t>Хабарский</t>
  </si>
  <si>
    <t>Целинный</t>
  </si>
  <si>
    <t>Чарышский</t>
  </si>
  <si>
    <t>Яровое</t>
  </si>
  <si>
    <t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ПК);
2) применять значение параметра полезного использования одного кабинета в неделю не по расчетному, а по фактическому значению.</t>
  </si>
  <si>
    <t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обучения).</t>
  </si>
  <si>
    <t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ПК);
2) применять значение параметра полезного использования одного кабинета в неделю не по расчетному, а по фактическому значению (либо исходя из понимания нормальной загрузки кабинета для реализации общеразвивающих программ).</t>
  </si>
  <si>
    <t>Рекомендуем при определении параметров для расчета нормативной стоимости:
1) пересмотреть значение коэффициента привлечения дополнительных педагогических работников (не учитывать при рачете ФОТ прочих педагогических работников, которые не принимают участия в обеспечении занятий);
2) 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t>
  </si>
  <si>
    <t>Рекомендуем при определении параметров для расчета нормативной стоимости:
1) пересмотреть значение коэффициента привлечения дополнительных педагогических работников (исключить ФОТ тех работников, которые не участвуют в обеспечении обучения);
2)применять значение коэффициента увеличения на прочий персонал в размере не более 0,5.</t>
  </si>
  <si>
    <t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фактическому значению (либо исходя из понимания нормальной загрузки кабинета для реализации общеразвивающих программ).</t>
  </si>
  <si>
    <t>Рекомендуем при определении параметров для расчета нормативной стоимости:
1) пересмотреть значение параметра по базовой потребности в приобретении услуг (кроме ПК и медосмотров)(проверить, не включены ли разовые расходы, налоги на имущество, землю и т.п, расходы на средства обучения, транспортные расходы, расходы не за счет субсидии на муниципальное задание).</t>
  </si>
  <si>
    <t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2)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t>
  </si>
  <si>
    <t>-</t>
  </si>
  <si>
    <t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t>
  </si>
  <si>
    <t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2)применять значение коэффициента увеличения на прочий персонал в размере не более 0,5;
3)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t>
  </si>
  <si>
    <t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ПК);
3) пересмотреть значение коэффициента привлечения дополнительных педагогических работников (исключить ФОТ тех работников, которые не участвуют в обеспечении обучения).</t>
  </si>
  <si>
    <t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фактическому значению(либо исходя из понимания нормальной загрузки кабинета для реализации общеразвивающих программ).</t>
  </si>
  <si>
    <t>Рекомендуем при определении параметров для расчета нормативной стоимости:
1) пересмотреть значение показателя по базовой потребности в приобретении услуг на мероприятия по допуску педагога к работе - в среднем по региону показатель ниже;
2) пересмотреть значение коэффициента привлечения дополнительных педагогических работников (исключить ФОТ тех работников, которые не принимают участия в обеспечении обучения);
3) применять значение параметра полезного использования одного кабинета в неделю не по расчетному, а по фактическому значению(либо исходя из понимания нормальной загрузки кабинета для реализации общеразвивающих программ).</t>
  </si>
  <si>
    <t xml:space="preserve">Рекомендуем при определении параметров для расчета нормативной стоимости:
1) применять значение коэффициента увеличения на прочий персонал в размере не более 0,5;
2) 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3)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
</t>
  </si>
  <si>
    <t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выше.</t>
  </si>
  <si>
    <t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выше;
3)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4)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t>
  </si>
  <si>
    <t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по сельской местности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 увеличить показатель по базовой потребности в приобретении услуг ПК по сельской местности;
3) использовать значение параметра по среднему количеству ставок на одного педагога по сельской местности в размере не менее 1,0  (поскольку целевую з/п, скорее всего, вы обеспечиваете не менее, чем за ставку).</t>
  </si>
  <si>
    <t>Рекомендуем при определении параметров для расчета нормативной стоимости:
1)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t>
  </si>
  <si>
    <t>113,5</t>
  </si>
  <si>
    <t>50,32</t>
  </si>
  <si>
    <t>1,4</t>
  </si>
  <si>
    <t>Рекомендуем при определении параметров для расчета нормативной стоимости:
1) пересмотреть значение коэффициента увеличения на прочий персонал - показатель в среднем по региону выше.</t>
  </si>
  <si>
    <t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ПК, значение низкое).</t>
  </si>
  <si>
    <t>Рекомендуем при определении параметров для расчета нормативной стоимости:
1) применять значение коэффициента увеличения на прочий персонал в размере не более 0,5.</t>
  </si>
  <si>
    <t xml:space="preserve"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выше;
2)применять значение коэффициента увеличения на прочий персонал в размере не более 0,5;
3)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 - расчетное значение высокое.
</t>
  </si>
  <si>
    <t>Рекомендуем при определении параметров для расчета нормативной стоимости:
1)в целях закрепления единых норм предусатривать значение показатель по базовой потребности в приобретении услуг (кроме ПК и медосмотров);
2) пересмотреть значение коэффициента привлечения дополнительных педагогических работников в сторону уменьшения (исключить ФОТ тех иных педагогических работников, которые не участвуют в обеспечении обучения);
3) предусмотреть значение параметра полезного использования одного кабинета в неделю;
4)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t>
  </si>
  <si>
    <t>Рекомендуем при определении параметров для расчета нормативной стоимости:
1) пересмотреть значение коэффициента привлечения дополнительных педагогических работников в сторону уменьшения (исключить ФОТ тех иных педагогических работников, которые не участвуют в обеспечении обучения).</t>
  </si>
  <si>
    <t>Рекомендуем при определении параметров для расчета нормативной стоимости:
1)увеличить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выше;
2) пересмотреть значение коэффициента привлечения дополнительных педагогических работников в сторону уменьшения (исключить ФОТ тех работников, которые не участвуют в обеспечении обучения);
3) применять значение параметра полезного использования одного кабинета в неделю по сельской местности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t>
  </si>
  <si>
    <t>сельская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</si>
</sst>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6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6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EEECE1"/>
        <bgColor rgb="FFEEECE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DAEEF3"/>
      </patternFill>
    </fill>
    <fill>
      <patternFill patternType="solid">
        <fgColor indexed="22"/>
        <bgColor indexed="27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DAEEF3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2" fontId="4" fillId="3" borderId="5" xfId="1" applyNumberFormat="1" applyFont="1" applyFill="1" applyBorder="1" applyAlignment="1">
      <alignment horizontal="center" vertical="center" wrapText="1"/>
    </xf>
    <xf numFmtId="2" fontId="6" fillId="0" borderId="0" xfId="1" applyNumberFormat="1" applyFont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3" xfId="1" applyFont="1" applyBorder="1"/>
    <xf numFmtId="0" fontId="4" fillId="3" borderId="2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4" xfId="1" applyFont="1" applyBorder="1"/>
    <xf numFmtId="0" fontId="4" fillId="0" borderId="2" xfId="1" applyFont="1" applyBorder="1" applyAlignment="1">
      <alignment horizontal="center" vertical="center" wrapText="1"/>
    </xf>
    <xf numFmtId="0" fontId="5" fillId="0" borderId="6" xfId="1" applyFont="1" applyBorder="1"/>
    <xf numFmtId="2" fontId="0" fillId="0" borderId="0" xfId="0" applyNumberFormat="1" applyAlignment="1">
      <alignment horizontal="center" vertical="center"/>
    </xf>
    <xf numFmtId="0" fontId="0" fillId="4" borderId="0" xfId="0" applyFill="1"/>
    <xf numFmtId="2" fontId="0" fillId="0" borderId="0" xfId="0" applyNumberFormat="1"/>
    <xf numFmtId="0" fontId="7" fillId="6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6" borderId="7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7" xfId="0" applyFont="1" applyBorder="1" applyAlignment="1" applyProtection="1">
      <alignment horizontal="left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locked="0" hidden="1"/>
    </xf>
    <xf numFmtId="0" fontId="8" fillId="6" borderId="7" xfId="0" applyFont="1" applyFill="1" applyBorder="1" applyAlignment="1" applyProtection="1">
      <alignment horizontal="center" vertical="center" wrapText="1"/>
      <protection hidden="1"/>
    </xf>
    <xf numFmtId="0" fontId="7" fillId="6" borderId="7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165" fontId="7" fillId="4" borderId="0" xfId="0" applyNumberFormat="1" applyFont="1" applyFill="1" applyAlignment="1" applyProtection="1">
      <alignment horizontal="center" vertical="center" wrapText="1"/>
      <protection hidden="1"/>
    </xf>
    <xf numFmtId="0" fontId="4" fillId="0" borderId="9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4" fontId="7" fillId="6" borderId="0" xfId="0" applyNumberFormat="1" applyFont="1" applyFill="1" applyAlignment="1" applyProtection="1">
      <alignment horizontal="center" vertical="center" wrapText="1"/>
      <protection hidden="1"/>
    </xf>
    <xf numFmtId="3" fontId="7" fillId="5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7" fillId="6" borderId="0" xfId="0" applyFont="1" applyFill="1" applyAlignment="1" applyProtection="1">
      <alignment horizontal="left" vertical="center"/>
      <protection hidden="1"/>
    </xf>
    <xf numFmtId="2" fontId="4" fillId="7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5" xfId="1" applyFont="1" applyFill="1" applyBorder="1" applyAlignment="1" applyProtection="1">
      <alignment horizontal="center" vertical="center" wrapText="1"/>
      <protection locked="0"/>
    </xf>
    <xf numFmtId="2" fontId="16" fillId="8" borderId="13" xfId="1" applyNumberFormat="1" applyFont="1" applyFill="1" applyBorder="1" applyAlignment="1" applyProtection="1">
      <alignment horizontal="center" vertical="center" wrapText="1"/>
      <protection locked="0"/>
    </xf>
    <xf numFmtId="0" fontId="16" fillId="8" borderId="13" xfId="1" applyFont="1" applyFill="1" applyBorder="1" applyAlignment="1" applyProtection="1">
      <alignment horizontal="center" vertical="center" wrapText="1"/>
      <protection locked="0"/>
    </xf>
    <xf numFmtId="4" fontId="4" fillId="9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0" fontId="4" fillId="7" borderId="5" xfId="1" applyNumberFormat="1" applyFont="1" applyFill="1" applyBorder="1" applyAlignment="1" applyProtection="1">
      <alignment horizontal="center" vertical="center" wrapText="1"/>
      <protection locked="0"/>
    </xf>
    <xf numFmtId="2" fontId="19" fillId="10" borderId="5" xfId="0" applyNumberFormat="1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2" fontId="4" fillId="11" borderId="5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7" xfId="0" applyFont="1" applyFill="1" applyBorder="1" applyAlignment="1" applyProtection="1">
      <alignment horizontal="center" vertical="center" wrapText="1"/>
      <protection locked="0" hidden="1"/>
    </xf>
    <xf numFmtId="0" fontId="7" fillId="6" borderId="8" xfId="0" applyFont="1" applyFill="1" applyBorder="1" applyAlignment="1" applyProtection="1">
      <alignment horizontal="center" vertical="center" wrapText="1"/>
      <protection hidden="1"/>
    </xf>
    <xf numFmtId="0" fontId="7" fillId="6" borderId="7" xfId="0" applyFont="1" applyFill="1" applyBorder="1" applyAlignment="1" applyProtection="1">
      <alignment horizontal="center" vertical="center" wrapText="1"/>
      <protection hidden="1"/>
    </xf>
    <xf numFmtId="0" fontId="11" fillId="6" borderId="0" xfId="0" applyFont="1" applyFill="1" applyAlignment="1" applyProtection="1">
      <alignment horizontal="center" vertical="center" wrapText="1"/>
      <protection hidden="1"/>
    </xf>
    <xf numFmtId="0" fontId="11" fillId="6" borderId="7" xfId="0" applyFont="1" applyFill="1" applyBorder="1" applyAlignment="1" applyProtection="1">
      <alignment horizontal="center" vertical="center" wrapText="1"/>
      <protection hidden="1"/>
    </xf>
    <xf numFmtId="0" fontId="7" fillId="6" borderId="11" xfId="0" applyFont="1" applyFill="1" applyBorder="1" applyAlignment="1" applyProtection="1">
      <alignment horizontal="center" vertical="center" wrapText="1"/>
      <protection hidden="1"/>
    </xf>
    <xf numFmtId="0" fontId="7" fillId="6" borderId="12" xfId="0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E47"/>
  <sheetViews>
    <sheetView zoomScale="85" zoomScaleNormal="85" workbookViewId="0">
      <pane ySplit="5" topLeftCell="A6" activePane="bottomLeft" state="frozen"/>
      <selection activeCell="B2" sqref="B2:F2"/>
      <selection pane="bottomLeft" activeCell="H44" sqref="H44:I44"/>
    </sheetView>
  </sheetViews>
  <sheetFormatPr defaultRowHeight="15" x14ac:dyDescent="0.25"/>
  <cols>
    <col min="1" max="1" width="9.140625" customWidth="1"/>
    <col min="2" max="2" width="62.7109375" customWidth="1"/>
    <col min="3" max="3" width="23" customWidth="1"/>
    <col min="4" max="86" width="9.140625" customWidth="1"/>
  </cols>
  <sheetData>
    <row r="4" spans="1:83" ht="27.75" customHeight="1" x14ac:dyDescent="0.25">
      <c r="A4" s="13" t="s">
        <v>34</v>
      </c>
      <c r="B4" s="13" t="s">
        <v>186</v>
      </c>
      <c r="C4" s="31" t="s">
        <v>35</v>
      </c>
      <c r="D4" s="50" t="s">
        <v>198</v>
      </c>
      <c r="E4" s="51"/>
      <c r="F4" s="54" t="s">
        <v>199</v>
      </c>
      <c r="G4" s="54"/>
      <c r="H4" s="54" t="s">
        <v>200</v>
      </c>
      <c r="I4" s="54"/>
      <c r="J4" s="54" t="s">
        <v>201</v>
      </c>
      <c r="K4" s="54"/>
      <c r="L4" s="54" t="s">
        <v>202</v>
      </c>
      <c r="M4" s="54"/>
      <c r="N4" s="54" t="s">
        <v>203</v>
      </c>
      <c r="O4" s="54"/>
      <c r="P4" s="54" t="s">
        <v>204</v>
      </c>
      <c r="Q4" s="54"/>
      <c r="R4" s="54" t="s">
        <v>205</v>
      </c>
      <c r="S4" s="54"/>
      <c r="T4" s="50" t="s">
        <v>206</v>
      </c>
      <c r="U4" s="51"/>
      <c r="V4" s="50" t="s">
        <v>207</v>
      </c>
      <c r="W4" s="51"/>
      <c r="X4" s="54" t="s">
        <v>208</v>
      </c>
      <c r="Y4" s="54"/>
      <c r="Z4" s="54" t="s">
        <v>209</v>
      </c>
      <c r="AA4" s="54"/>
      <c r="AB4" s="54" t="s">
        <v>210</v>
      </c>
      <c r="AC4" s="54"/>
      <c r="AD4" s="54" t="s">
        <v>211</v>
      </c>
      <c r="AE4" s="54"/>
      <c r="AF4" s="54" t="s">
        <v>212</v>
      </c>
      <c r="AG4" s="54"/>
      <c r="AH4" s="54" t="s">
        <v>213</v>
      </c>
      <c r="AI4" s="54"/>
      <c r="AJ4" s="54" t="s">
        <v>214</v>
      </c>
      <c r="AK4" s="54"/>
      <c r="AL4" s="54" t="s">
        <v>215</v>
      </c>
      <c r="AM4" s="54"/>
      <c r="AN4" s="54" t="s">
        <v>216</v>
      </c>
      <c r="AO4" s="54"/>
      <c r="AP4" s="54" t="s">
        <v>217</v>
      </c>
      <c r="AQ4" s="54"/>
      <c r="AR4" s="54" t="s">
        <v>218</v>
      </c>
      <c r="AS4" s="54"/>
      <c r="AT4" s="54" t="s">
        <v>219</v>
      </c>
      <c r="AU4" s="54"/>
      <c r="AV4" s="54" t="s">
        <v>220</v>
      </c>
      <c r="AW4" s="54"/>
      <c r="AX4" s="54" t="s">
        <v>221</v>
      </c>
      <c r="AY4" s="54"/>
      <c r="AZ4" s="54" t="s">
        <v>222</v>
      </c>
      <c r="BA4" s="54"/>
      <c r="BB4" s="54" t="s">
        <v>223</v>
      </c>
      <c r="BC4" s="54"/>
      <c r="BD4" s="50" t="s">
        <v>224</v>
      </c>
      <c r="BE4" s="51"/>
      <c r="BF4" s="50" t="s">
        <v>225</v>
      </c>
      <c r="BG4" s="51"/>
      <c r="BH4" s="50" t="s">
        <v>226</v>
      </c>
      <c r="BI4" s="51"/>
      <c r="BJ4" s="50" t="s">
        <v>227</v>
      </c>
      <c r="BK4" s="51"/>
      <c r="BL4" s="50" t="s">
        <v>228</v>
      </c>
      <c r="BM4" s="51"/>
      <c r="BN4" s="50" t="s">
        <v>229</v>
      </c>
      <c r="BO4" s="51"/>
      <c r="BP4" s="50" t="s">
        <v>230</v>
      </c>
      <c r="BQ4" s="51"/>
      <c r="BR4" s="50" t="s">
        <v>231</v>
      </c>
      <c r="BS4" s="51"/>
      <c r="BT4" s="50" t="s">
        <v>232</v>
      </c>
      <c r="BU4" s="51"/>
      <c r="BV4" s="50" t="s">
        <v>233</v>
      </c>
      <c r="BW4" s="51"/>
      <c r="BX4" s="50" t="s">
        <v>234</v>
      </c>
      <c r="BY4" s="51"/>
      <c r="BZ4" s="50" t="s">
        <v>235</v>
      </c>
      <c r="CA4" s="51"/>
      <c r="CB4" s="50"/>
      <c r="CC4" s="51"/>
      <c r="CD4" s="50"/>
      <c r="CE4" s="51"/>
    </row>
    <row r="5" spans="1:83" x14ac:dyDescent="0.25">
      <c r="A5" s="14"/>
      <c r="B5" s="14"/>
      <c r="C5" s="14"/>
      <c r="D5" s="33" t="s">
        <v>146</v>
      </c>
      <c r="E5" s="33" t="s">
        <v>147</v>
      </c>
      <c r="F5" s="32" t="s">
        <v>146</v>
      </c>
      <c r="G5" s="32" t="s">
        <v>147</v>
      </c>
      <c r="H5" s="33" t="s">
        <v>146</v>
      </c>
      <c r="I5" s="33" t="s">
        <v>147</v>
      </c>
      <c r="J5" s="32" t="s">
        <v>146</v>
      </c>
      <c r="K5" s="32" t="s">
        <v>147</v>
      </c>
      <c r="L5" s="33" t="s">
        <v>146</v>
      </c>
      <c r="M5" s="33" t="s">
        <v>147</v>
      </c>
      <c r="N5" s="32" t="s">
        <v>146</v>
      </c>
      <c r="O5" s="32" t="s">
        <v>147</v>
      </c>
      <c r="P5" s="33" t="s">
        <v>146</v>
      </c>
      <c r="Q5" s="33" t="s">
        <v>147</v>
      </c>
      <c r="R5" s="32" t="s">
        <v>146</v>
      </c>
      <c r="S5" s="32" t="s">
        <v>147</v>
      </c>
      <c r="T5" s="33" t="s">
        <v>146</v>
      </c>
      <c r="U5" s="33" t="s">
        <v>147</v>
      </c>
      <c r="V5" s="32" t="s">
        <v>146</v>
      </c>
      <c r="W5" s="32" t="s">
        <v>147</v>
      </c>
      <c r="X5" s="33" t="s">
        <v>146</v>
      </c>
      <c r="Y5" s="33" t="s">
        <v>147</v>
      </c>
      <c r="Z5" s="32" t="s">
        <v>146</v>
      </c>
      <c r="AA5" s="32" t="s">
        <v>147</v>
      </c>
      <c r="AB5" s="33" t="s">
        <v>146</v>
      </c>
      <c r="AC5" s="33" t="s">
        <v>147</v>
      </c>
      <c r="AD5" s="32" t="s">
        <v>146</v>
      </c>
      <c r="AE5" s="32" t="s">
        <v>147</v>
      </c>
      <c r="AF5" s="33" t="s">
        <v>146</v>
      </c>
      <c r="AG5" s="33" t="s">
        <v>147</v>
      </c>
      <c r="AH5" s="32" t="s">
        <v>146</v>
      </c>
      <c r="AI5" s="32" t="s">
        <v>147</v>
      </c>
      <c r="AJ5" s="33" t="s">
        <v>146</v>
      </c>
      <c r="AK5" s="33" t="s">
        <v>147</v>
      </c>
      <c r="AL5" s="32" t="s">
        <v>146</v>
      </c>
      <c r="AM5" s="32" t="s">
        <v>147</v>
      </c>
      <c r="AN5" s="33" t="s">
        <v>146</v>
      </c>
      <c r="AO5" s="33" t="s">
        <v>147</v>
      </c>
      <c r="AP5" s="32" t="s">
        <v>146</v>
      </c>
      <c r="AQ5" s="32" t="s">
        <v>147</v>
      </c>
      <c r="AR5" s="33" t="s">
        <v>146</v>
      </c>
      <c r="AS5" s="33" t="s">
        <v>147</v>
      </c>
      <c r="AT5" s="32" t="s">
        <v>146</v>
      </c>
      <c r="AU5" s="32" t="s">
        <v>147</v>
      </c>
      <c r="AV5" s="33" t="s">
        <v>146</v>
      </c>
      <c r="AW5" s="33" t="s">
        <v>147</v>
      </c>
      <c r="AX5" s="32" t="s">
        <v>146</v>
      </c>
      <c r="AY5" s="32" t="s">
        <v>147</v>
      </c>
      <c r="AZ5" s="33" t="s">
        <v>146</v>
      </c>
      <c r="BA5" s="33" t="s">
        <v>147</v>
      </c>
      <c r="BB5" s="32" t="s">
        <v>146</v>
      </c>
      <c r="BC5" s="32" t="s">
        <v>147</v>
      </c>
      <c r="BD5" s="32" t="s">
        <v>146</v>
      </c>
      <c r="BE5" s="32" t="s">
        <v>147</v>
      </c>
      <c r="BF5" s="32" t="s">
        <v>146</v>
      </c>
      <c r="BG5" s="32" t="s">
        <v>147</v>
      </c>
      <c r="BH5" s="32" t="s">
        <v>146</v>
      </c>
      <c r="BI5" s="32" t="s">
        <v>147</v>
      </c>
      <c r="BJ5" s="32" t="s">
        <v>146</v>
      </c>
      <c r="BK5" s="32" t="s">
        <v>147</v>
      </c>
      <c r="BL5" s="32" t="s">
        <v>146</v>
      </c>
      <c r="BM5" s="32" t="s">
        <v>147</v>
      </c>
      <c r="BN5" s="32" t="s">
        <v>146</v>
      </c>
      <c r="BO5" s="32" t="s">
        <v>147</v>
      </c>
      <c r="BP5" s="32" t="s">
        <v>146</v>
      </c>
      <c r="BQ5" s="32" t="s">
        <v>147</v>
      </c>
      <c r="BR5" s="32" t="s">
        <v>146</v>
      </c>
      <c r="BS5" s="32" t="s">
        <v>147</v>
      </c>
      <c r="BT5" s="32" t="s">
        <v>146</v>
      </c>
      <c r="BU5" s="32" t="s">
        <v>147</v>
      </c>
      <c r="BV5" s="32" t="s">
        <v>146</v>
      </c>
      <c r="BW5" s="32" t="s">
        <v>147</v>
      </c>
      <c r="BX5" s="32" t="s">
        <v>146</v>
      </c>
      <c r="BY5" s="32" t="s">
        <v>147</v>
      </c>
      <c r="BZ5" s="32" t="s">
        <v>146</v>
      </c>
      <c r="CA5" s="32" t="s">
        <v>147</v>
      </c>
      <c r="CB5" s="32" t="s">
        <v>146</v>
      </c>
      <c r="CC5" s="32" t="s">
        <v>147</v>
      </c>
      <c r="CD5" s="32" t="s">
        <v>146</v>
      </c>
      <c r="CE5" s="32" t="s">
        <v>147</v>
      </c>
    </row>
    <row r="6" spans="1:83" ht="110.45" customHeight="1" x14ac:dyDescent="0.25">
      <c r="A6" s="6">
        <v>42736</v>
      </c>
      <c r="B6" s="7" t="s">
        <v>36</v>
      </c>
      <c r="C6" s="7" t="s">
        <v>37</v>
      </c>
      <c r="D6" s="37">
        <v>303.7</v>
      </c>
      <c r="E6" s="37"/>
      <c r="F6" s="37"/>
      <c r="G6" s="37">
        <v>1155.5999999999999</v>
      </c>
      <c r="H6" s="37">
        <v>9924.5</v>
      </c>
      <c r="I6" s="37">
        <v>907.8</v>
      </c>
      <c r="J6" s="37"/>
      <c r="K6" s="37">
        <v>332.5</v>
      </c>
      <c r="L6" s="37">
        <v>907.72</v>
      </c>
      <c r="M6" s="37"/>
      <c r="N6" s="37">
        <v>1115.2</v>
      </c>
      <c r="O6" s="37"/>
      <c r="P6" s="37"/>
      <c r="Q6" s="37">
        <v>0</v>
      </c>
      <c r="R6" s="37"/>
      <c r="S6" s="37">
        <v>80</v>
      </c>
      <c r="T6" s="37"/>
      <c r="U6" s="37">
        <v>2115</v>
      </c>
      <c r="V6" s="37"/>
      <c r="W6" s="37">
        <v>604</v>
      </c>
      <c r="X6" s="37">
        <v>1458.35</v>
      </c>
      <c r="Y6" s="37"/>
      <c r="Z6" s="37">
        <v>489</v>
      </c>
      <c r="AA6" s="39">
        <v>1123</v>
      </c>
      <c r="AB6" s="37">
        <v>424.9</v>
      </c>
      <c r="AC6" s="37"/>
      <c r="AD6" s="37"/>
      <c r="AE6" s="37">
        <v>54.2</v>
      </c>
      <c r="AF6" s="37"/>
      <c r="AG6" s="37">
        <v>87.1</v>
      </c>
      <c r="AH6" s="37"/>
      <c r="AI6" s="37">
        <v>350.15</v>
      </c>
      <c r="AJ6" s="37"/>
      <c r="AK6" s="37">
        <v>420</v>
      </c>
      <c r="AL6" s="37"/>
      <c r="AM6" s="37">
        <v>148.30000000000001</v>
      </c>
      <c r="AN6" s="37">
        <v>620</v>
      </c>
      <c r="AO6" s="37"/>
      <c r="AP6" s="37">
        <v>16100</v>
      </c>
      <c r="AQ6" s="37"/>
      <c r="AR6" s="37"/>
      <c r="AS6" s="37">
        <v>306.3</v>
      </c>
      <c r="AT6" s="45"/>
      <c r="AU6" s="45">
        <v>492</v>
      </c>
      <c r="AV6" s="37"/>
      <c r="AW6" s="37">
        <v>682.4</v>
      </c>
      <c r="AX6" s="37"/>
      <c r="AY6" s="37">
        <v>519.6</v>
      </c>
      <c r="AZ6" s="37"/>
      <c r="BA6" s="37">
        <v>501.6</v>
      </c>
      <c r="BB6" s="37">
        <v>829.5</v>
      </c>
      <c r="BC6" s="37"/>
      <c r="BD6" s="37">
        <v>1043</v>
      </c>
      <c r="BE6" s="37"/>
      <c r="BF6" s="37">
        <v>0</v>
      </c>
      <c r="BG6" s="37">
        <v>336.2</v>
      </c>
      <c r="BH6" s="41">
        <v>912.6</v>
      </c>
      <c r="BI6" s="42"/>
      <c r="BJ6" s="37"/>
      <c r="BK6" s="37">
        <v>204.4</v>
      </c>
      <c r="BL6" s="37"/>
      <c r="BM6" s="37">
        <v>5421.5</v>
      </c>
      <c r="BN6" s="37"/>
      <c r="BO6" s="37">
        <v>243.5</v>
      </c>
      <c r="BP6" s="37"/>
      <c r="BQ6" s="37">
        <v>69.5</v>
      </c>
      <c r="BR6" s="37"/>
      <c r="BS6" s="37">
        <v>384.4</v>
      </c>
      <c r="BT6" s="37"/>
      <c r="BU6" s="37">
        <v>75</v>
      </c>
      <c r="BV6" s="37"/>
      <c r="BW6" s="37">
        <v>347.8</v>
      </c>
      <c r="BX6" s="37"/>
      <c r="BY6" s="37">
        <v>219.8</v>
      </c>
      <c r="BZ6" s="37">
        <v>1615.42</v>
      </c>
      <c r="CA6" s="37"/>
      <c r="CB6" s="37"/>
      <c r="CC6" s="8"/>
      <c r="CD6" s="39"/>
      <c r="CE6" s="8"/>
    </row>
    <row r="7" spans="1:83" x14ac:dyDescent="0.25">
      <c r="A7" s="6">
        <v>42767</v>
      </c>
      <c r="B7" s="7" t="s">
        <v>38</v>
      </c>
      <c r="C7" s="7" t="s">
        <v>37</v>
      </c>
      <c r="D7" s="37">
        <v>283.7</v>
      </c>
      <c r="E7" s="37"/>
      <c r="F7" s="37"/>
      <c r="G7" s="37">
        <v>1613.7</v>
      </c>
      <c r="H7" s="37">
        <v>9640.2999999999993</v>
      </c>
      <c r="I7" s="37">
        <v>1114.9000000000001</v>
      </c>
      <c r="J7" s="37"/>
      <c r="K7" s="37">
        <v>943.5</v>
      </c>
      <c r="L7" s="37">
        <v>258.06</v>
      </c>
      <c r="M7" s="37"/>
      <c r="N7" s="37">
        <v>3817.9</v>
      </c>
      <c r="O7" s="37"/>
      <c r="P7" s="37"/>
      <c r="Q7" s="37">
        <v>0</v>
      </c>
      <c r="R7" s="37"/>
      <c r="S7" s="37">
        <v>343.6</v>
      </c>
      <c r="T7" s="37"/>
      <c r="U7" s="37">
        <v>542</v>
      </c>
      <c r="V7" s="37"/>
      <c r="W7" s="37">
        <v>1172</v>
      </c>
      <c r="X7" s="37">
        <v>1160.6099999999999</v>
      </c>
      <c r="Y7" s="37"/>
      <c r="Z7" s="37">
        <v>1205</v>
      </c>
      <c r="AA7" s="39">
        <v>960</v>
      </c>
      <c r="AB7" s="37">
        <v>905.1</v>
      </c>
      <c r="AC7" s="37"/>
      <c r="AD7" s="37"/>
      <c r="AE7" s="37">
        <v>191.5</v>
      </c>
      <c r="AF7" s="37"/>
      <c r="AG7" s="37">
        <v>215.4</v>
      </c>
      <c r="AH7" s="37"/>
      <c r="AI7" s="37">
        <v>285.16000000000003</v>
      </c>
      <c r="AJ7" s="37"/>
      <c r="AK7" s="37">
        <v>1412</v>
      </c>
      <c r="AL7" s="37"/>
      <c r="AM7" s="37">
        <v>741</v>
      </c>
      <c r="AN7" s="37">
        <v>322</v>
      </c>
      <c r="AO7" s="37"/>
      <c r="AP7" s="37">
        <v>688.9</v>
      </c>
      <c r="AQ7" s="37"/>
      <c r="AR7" s="37"/>
      <c r="AS7" s="37">
        <v>120.1</v>
      </c>
      <c r="AT7" s="45"/>
      <c r="AU7" s="45" t="s">
        <v>255</v>
      </c>
      <c r="AV7" s="37"/>
      <c r="AW7" s="37">
        <v>486</v>
      </c>
      <c r="AX7" s="37"/>
      <c r="AY7" s="37">
        <v>2380.5</v>
      </c>
      <c r="AZ7" s="37"/>
      <c r="BA7" s="37">
        <v>439</v>
      </c>
      <c r="BB7" s="37">
        <v>3572.9</v>
      </c>
      <c r="BC7" s="37"/>
      <c r="BD7" s="37">
        <v>461.71</v>
      </c>
      <c r="BE7" s="37"/>
      <c r="BF7" s="37">
        <v>0</v>
      </c>
      <c r="BG7" s="37">
        <v>228.5</v>
      </c>
      <c r="BH7" s="41">
        <v>1996.6</v>
      </c>
      <c r="BI7" s="42"/>
      <c r="BJ7" s="37"/>
      <c r="BK7" s="37">
        <v>358.2</v>
      </c>
      <c r="BL7" s="37"/>
      <c r="BM7" s="37">
        <v>357.1</v>
      </c>
      <c r="BN7" s="37"/>
      <c r="BO7" s="37">
        <v>374.5</v>
      </c>
      <c r="BP7" s="37"/>
      <c r="BQ7" s="37">
        <v>122.24</v>
      </c>
      <c r="BR7" s="37"/>
      <c r="BS7" s="37">
        <v>312</v>
      </c>
      <c r="BT7" s="37"/>
      <c r="BU7" s="37">
        <v>6.4</v>
      </c>
      <c r="BV7" s="37"/>
      <c r="BW7" s="37">
        <v>190</v>
      </c>
      <c r="BX7" s="37"/>
      <c r="BY7" s="37">
        <v>166.8</v>
      </c>
      <c r="BZ7" s="37">
        <v>1138.48</v>
      </c>
      <c r="CA7" s="37"/>
      <c r="CB7" s="37"/>
      <c r="CC7" s="8"/>
      <c r="CD7" s="39"/>
      <c r="CE7" s="8"/>
    </row>
    <row r="8" spans="1:83" ht="30" x14ac:dyDescent="0.25">
      <c r="A8" s="6">
        <v>42795</v>
      </c>
      <c r="B8" s="7" t="s">
        <v>39</v>
      </c>
      <c r="C8" s="7" t="s">
        <v>37</v>
      </c>
      <c r="D8" s="37">
        <v>116.7</v>
      </c>
      <c r="E8" s="37"/>
      <c r="F8" s="37"/>
      <c r="G8" s="37">
        <v>618</v>
      </c>
      <c r="H8" s="37">
        <v>3515</v>
      </c>
      <c r="I8" s="37">
        <v>201.5</v>
      </c>
      <c r="J8" s="37"/>
      <c r="K8" s="37">
        <v>341</v>
      </c>
      <c r="L8" s="37">
        <v>102.82</v>
      </c>
      <c r="M8" s="37"/>
      <c r="N8" s="37">
        <v>1577.61</v>
      </c>
      <c r="O8" s="37"/>
      <c r="P8" s="37"/>
      <c r="Q8" s="37">
        <v>0</v>
      </c>
      <c r="R8" s="37"/>
      <c r="S8" s="37">
        <v>170</v>
      </c>
      <c r="T8" s="37"/>
      <c r="U8" s="37">
        <v>328</v>
      </c>
      <c r="V8" s="37"/>
      <c r="W8" s="37">
        <v>561</v>
      </c>
      <c r="X8" s="37">
        <v>432.36</v>
      </c>
      <c r="Y8" s="37"/>
      <c r="Z8" s="37">
        <v>507</v>
      </c>
      <c r="AA8" s="39">
        <v>368</v>
      </c>
      <c r="AB8" s="37">
        <v>349.5</v>
      </c>
      <c r="AC8" s="37"/>
      <c r="AD8" s="37"/>
      <c r="AE8" s="37">
        <v>86.9</v>
      </c>
      <c r="AF8" s="37"/>
      <c r="AG8" s="37">
        <v>114</v>
      </c>
      <c r="AH8" s="37"/>
      <c r="AI8" s="37">
        <v>130.12</v>
      </c>
      <c r="AJ8" s="37"/>
      <c r="AK8" s="37">
        <v>743.4</v>
      </c>
      <c r="AL8" s="37"/>
      <c r="AM8" s="37">
        <v>363.2</v>
      </c>
      <c r="AN8" s="37">
        <v>140</v>
      </c>
      <c r="AO8" s="37"/>
      <c r="AP8" s="37">
        <v>194.6</v>
      </c>
      <c r="AQ8" s="37"/>
      <c r="AR8" s="37"/>
      <c r="AS8" s="37">
        <v>54.2</v>
      </c>
      <c r="AT8" s="45"/>
      <c r="AU8" s="45" t="s">
        <v>256</v>
      </c>
      <c r="AV8" s="37"/>
      <c r="AW8" s="37">
        <v>220.55</v>
      </c>
      <c r="AX8" s="37"/>
      <c r="AY8" s="37">
        <v>1078.5</v>
      </c>
      <c r="AZ8" s="37"/>
      <c r="BA8" s="37">
        <v>208.3</v>
      </c>
      <c r="BB8" s="37">
        <v>1505.1</v>
      </c>
      <c r="BC8" s="37"/>
      <c r="BD8" s="37">
        <v>152.74</v>
      </c>
      <c r="BE8" s="37"/>
      <c r="BF8" s="37">
        <v>0</v>
      </c>
      <c r="BG8" s="37">
        <v>227.5</v>
      </c>
      <c r="BH8" s="41">
        <v>746.28</v>
      </c>
      <c r="BI8" s="42"/>
      <c r="BJ8" s="37"/>
      <c r="BK8" s="37">
        <v>175.4</v>
      </c>
      <c r="BL8" s="37"/>
      <c r="BM8" s="37">
        <v>118</v>
      </c>
      <c r="BN8" s="37"/>
      <c r="BO8" s="37">
        <v>186.9</v>
      </c>
      <c r="BP8" s="37"/>
      <c r="BQ8" s="37">
        <v>102.74</v>
      </c>
      <c r="BR8" s="37"/>
      <c r="BS8" s="37">
        <v>128</v>
      </c>
      <c r="BT8" s="37"/>
      <c r="BU8" s="37">
        <v>3.4</v>
      </c>
      <c r="BV8" s="37"/>
      <c r="BW8" s="37">
        <v>93.1</v>
      </c>
      <c r="BX8" s="37"/>
      <c r="BY8" s="37">
        <v>77.2</v>
      </c>
      <c r="BZ8" s="37">
        <v>526.69000000000005</v>
      </c>
      <c r="CA8" s="37"/>
      <c r="CB8" s="37"/>
      <c r="CC8" s="8"/>
      <c r="CD8" s="39"/>
      <c r="CE8" s="8"/>
    </row>
    <row r="9" spans="1:83" ht="105" customHeight="1" x14ac:dyDescent="0.25">
      <c r="A9" s="7">
        <v>2</v>
      </c>
      <c r="B9" s="7" t="s">
        <v>40</v>
      </c>
      <c r="C9" s="7" t="s">
        <v>37</v>
      </c>
      <c r="D9" s="37">
        <v>10</v>
      </c>
      <c r="E9" s="37"/>
      <c r="F9" s="37"/>
      <c r="G9" s="37">
        <v>9.5</v>
      </c>
      <c r="H9" s="37">
        <v>2.6</v>
      </c>
      <c r="I9" s="37">
        <v>2.6</v>
      </c>
      <c r="J9" s="37"/>
      <c r="K9" s="37">
        <v>4.2</v>
      </c>
      <c r="L9" s="37">
        <v>3.02</v>
      </c>
      <c r="M9" s="37"/>
      <c r="N9" s="37">
        <v>2</v>
      </c>
      <c r="O9" s="37"/>
      <c r="P9" s="37"/>
      <c r="Q9" s="37">
        <v>10.4</v>
      </c>
      <c r="R9" s="37"/>
      <c r="S9" s="37">
        <v>7.2</v>
      </c>
      <c r="T9" s="37"/>
      <c r="U9" s="37">
        <v>3</v>
      </c>
      <c r="V9" s="37"/>
      <c r="W9" s="37">
        <v>6</v>
      </c>
      <c r="X9" s="37">
        <v>2.5</v>
      </c>
      <c r="Y9" s="37"/>
      <c r="Z9" s="37">
        <v>10.7</v>
      </c>
      <c r="AA9" s="39">
        <v>1.6</v>
      </c>
      <c r="AB9" s="37">
        <v>5</v>
      </c>
      <c r="AC9" s="37"/>
      <c r="AD9" s="37"/>
      <c r="AE9" s="37">
        <v>4.0999999999999996</v>
      </c>
      <c r="AF9" s="37"/>
      <c r="AG9" s="37">
        <v>6</v>
      </c>
      <c r="AH9" s="37"/>
      <c r="AI9" s="37">
        <v>10</v>
      </c>
      <c r="AJ9" s="37"/>
      <c r="AK9" s="37">
        <v>2.6</v>
      </c>
      <c r="AL9" s="37"/>
      <c r="AM9" s="37">
        <v>10</v>
      </c>
      <c r="AN9" s="37">
        <v>6</v>
      </c>
      <c r="AO9" s="37"/>
      <c r="AP9" s="37">
        <v>6</v>
      </c>
      <c r="AQ9" s="37"/>
      <c r="AR9" s="37"/>
      <c r="AS9" s="37">
        <v>7.4</v>
      </c>
      <c r="AT9" s="45"/>
      <c r="AU9" s="45">
        <v>8</v>
      </c>
      <c r="AV9" s="37"/>
      <c r="AW9" s="37">
        <v>5</v>
      </c>
      <c r="AX9" s="37"/>
      <c r="AY9" s="37">
        <v>3</v>
      </c>
      <c r="AZ9" s="37"/>
      <c r="BA9" s="37">
        <v>7.2</v>
      </c>
      <c r="BB9" s="37">
        <v>6.5</v>
      </c>
      <c r="BC9" s="37"/>
      <c r="BD9" s="37">
        <v>5.8</v>
      </c>
      <c r="BE9" s="37"/>
      <c r="BF9" s="37">
        <v>0</v>
      </c>
      <c r="BG9" s="37">
        <v>7.5</v>
      </c>
      <c r="BH9" s="41">
        <v>8</v>
      </c>
      <c r="BI9" s="42"/>
      <c r="BJ9" s="37"/>
      <c r="BK9" s="37">
        <v>2.1</v>
      </c>
      <c r="BL9" s="37"/>
      <c r="BM9" s="37">
        <v>4.3</v>
      </c>
      <c r="BN9" s="37"/>
      <c r="BO9" s="37">
        <v>15.7</v>
      </c>
      <c r="BP9" s="37"/>
      <c r="BQ9" s="37">
        <v>4.9000000000000004</v>
      </c>
      <c r="BR9" s="37"/>
      <c r="BS9" s="37">
        <v>1.3</v>
      </c>
      <c r="BT9" s="37"/>
      <c r="BU9" s="37">
        <v>8</v>
      </c>
      <c r="BV9" s="37"/>
      <c r="BW9" s="37">
        <v>5</v>
      </c>
      <c r="BX9" s="37"/>
      <c r="BY9" s="37">
        <v>10.8</v>
      </c>
      <c r="BZ9" s="37">
        <v>12.9</v>
      </c>
      <c r="CA9" s="37"/>
      <c r="CB9" s="37"/>
      <c r="CC9" s="8"/>
      <c r="CD9" s="39"/>
      <c r="CE9" s="8"/>
    </row>
    <row r="10" spans="1:83" ht="45" x14ac:dyDescent="0.25">
      <c r="A10" s="7">
        <v>3</v>
      </c>
      <c r="B10" s="7" t="s">
        <v>41</v>
      </c>
      <c r="C10" s="7" t="s">
        <v>42</v>
      </c>
      <c r="D10" s="37">
        <v>4.7</v>
      </c>
      <c r="E10" s="37"/>
      <c r="F10" s="37"/>
      <c r="G10" s="37">
        <v>3.5</v>
      </c>
      <c r="H10" s="37">
        <v>0.9</v>
      </c>
      <c r="I10" s="37">
        <v>0.9</v>
      </c>
      <c r="J10" s="37"/>
      <c r="K10" s="37">
        <v>2.2999999999999998</v>
      </c>
      <c r="L10" s="37">
        <v>2</v>
      </c>
      <c r="M10" s="37"/>
      <c r="N10" s="37">
        <v>1.1000000000000001</v>
      </c>
      <c r="O10" s="37"/>
      <c r="P10" s="37"/>
      <c r="Q10" s="37">
        <v>3.9</v>
      </c>
      <c r="R10" s="37"/>
      <c r="S10" s="37">
        <v>3.6</v>
      </c>
      <c r="T10" s="37"/>
      <c r="U10" s="37">
        <v>4</v>
      </c>
      <c r="V10" s="37"/>
      <c r="W10" s="37">
        <v>4</v>
      </c>
      <c r="X10" s="37">
        <v>1.34</v>
      </c>
      <c r="Y10" s="37"/>
      <c r="Z10" s="37">
        <v>2.4</v>
      </c>
      <c r="AA10" s="39">
        <v>2.4</v>
      </c>
      <c r="AB10" s="37">
        <v>7.62</v>
      </c>
      <c r="AC10" s="37"/>
      <c r="AD10" s="37"/>
      <c r="AE10" s="37">
        <v>3</v>
      </c>
      <c r="AF10" s="37"/>
      <c r="AG10" s="37">
        <v>2.2000000000000002</v>
      </c>
      <c r="AH10" s="37"/>
      <c r="AI10" s="37">
        <v>2.66</v>
      </c>
      <c r="AJ10" s="37"/>
      <c r="AK10" s="37">
        <v>2</v>
      </c>
      <c r="AL10" s="37"/>
      <c r="AM10" s="37">
        <v>1</v>
      </c>
      <c r="AN10" s="37">
        <v>6.5</v>
      </c>
      <c r="AO10" s="37"/>
      <c r="AP10" s="37">
        <v>2</v>
      </c>
      <c r="AQ10" s="37"/>
      <c r="AR10" s="37"/>
      <c r="AS10" s="37">
        <v>2.65</v>
      </c>
      <c r="AT10" s="45"/>
      <c r="AU10" s="45" t="s">
        <v>257</v>
      </c>
      <c r="AV10" s="37"/>
      <c r="AW10" s="37">
        <v>3</v>
      </c>
      <c r="AX10" s="37"/>
      <c r="AY10" s="37">
        <v>1.5</v>
      </c>
      <c r="AZ10" s="37"/>
      <c r="BA10" s="37">
        <v>2.7</v>
      </c>
      <c r="BB10" s="37">
        <v>1.1000000000000001</v>
      </c>
      <c r="BC10" s="37"/>
      <c r="BD10" s="37">
        <v>3.8</v>
      </c>
      <c r="BE10" s="37"/>
      <c r="BF10" s="37">
        <v>0</v>
      </c>
      <c r="BG10" s="37">
        <v>5.2</v>
      </c>
      <c r="BH10" s="41">
        <v>2.8</v>
      </c>
      <c r="BI10" s="42"/>
      <c r="BJ10" s="37"/>
      <c r="BK10" s="37">
        <v>0.5</v>
      </c>
      <c r="BL10" s="37"/>
      <c r="BM10" s="37">
        <v>4.9000000000000004</v>
      </c>
      <c r="BN10" s="37"/>
      <c r="BO10" s="37">
        <v>1.6</v>
      </c>
      <c r="BP10" s="37"/>
      <c r="BQ10" s="37">
        <v>3.25</v>
      </c>
      <c r="BR10" s="37"/>
      <c r="BS10" s="37">
        <v>5.3</v>
      </c>
      <c r="BT10" s="37"/>
      <c r="BU10" s="37">
        <v>3</v>
      </c>
      <c r="BV10" s="37"/>
      <c r="BW10" s="37">
        <v>4.2</v>
      </c>
      <c r="BX10" s="37"/>
      <c r="BY10" s="37">
        <v>2.9</v>
      </c>
      <c r="BZ10" s="37">
        <v>1.5</v>
      </c>
      <c r="CA10" s="37"/>
      <c r="CB10" s="37"/>
      <c r="CC10" s="8"/>
      <c r="CD10" s="39"/>
      <c r="CE10" s="8"/>
    </row>
    <row r="11" spans="1:83" ht="69" customHeight="1" x14ac:dyDescent="0.25">
      <c r="A11" s="6">
        <v>42738</v>
      </c>
      <c r="B11" s="7" t="s">
        <v>43</v>
      </c>
      <c r="C11" s="7" t="s">
        <v>42</v>
      </c>
      <c r="D11" s="37">
        <v>0</v>
      </c>
      <c r="E11" s="37"/>
      <c r="F11" s="37"/>
      <c r="G11" s="37">
        <v>0</v>
      </c>
      <c r="H11" s="37">
        <v>0</v>
      </c>
      <c r="I11" s="37">
        <v>0</v>
      </c>
      <c r="J11" s="37"/>
      <c r="K11" s="37">
        <v>0</v>
      </c>
      <c r="L11" s="37">
        <v>0</v>
      </c>
      <c r="M11" s="37"/>
      <c r="N11" s="37">
        <v>0</v>
      </c>
      <c r="O11" s="37"/>
      <c r="P11" s="37"/>
      <c r="Q11" s="37">
        <v>0</v>
      </c>
      <c r="R11" s="37"/>
      <c r="S11" s="37">
        <v>0</v>
      </c>
      <c r="T11" s="37"/>
      <c r="U11" s="37"/>
      <c r="V11" s="37"/>
      <c r="W11" s="37">
        <v>0</v>
      </c>
      <c r="X11" s="37">
        <v>0</v>
      </c>
      <c r="Y11" s="37"/>
      <c r="Z11" s="37">
        <v>0</v>
      </c>
      <c r="AA11" s="39">
        <v>0</v>
      </c>
      <c r="AB11" s="37">
        <v>0</v>
      </c>
      <c r="AC11" s="37"/>
      <c r="AD11" s="37"/>
      <c r="AE11" s="37">
        <v>0</v>
      </c>
      <c r="AF11" s="37"/>
      <c r="AG11" s="37" t="s">
        <v>244</v>
      </c>
      <c r="AH11" s="37"/>
      <c r="AI11" s="37"/>
      <c r="AJ11" s="37"/>
      <c r="AK11" s="37">
        <v>0</v>
      </c>
      <c r="AL11" s="37"/>
      <c r="AM11" s="37">
        <v>0</v>
      </c>
      <c r="AN11" s="37"/>
      <c r="AO11" s="37"/>
      <c r="AP11" s="37">
        <v>0</v>
      </c>
      <c r="AQ11" s="37"/>
      <c r="AR11" s="37"/>
      <c r="AS11" s="37">
        <v>0</v>
      </c>
      <c r="AT11" s="45"/>
      <c r="AU11" s="45">
        <v>0</v>
      </c>
      <c r="AV11" s="37"/>
      <c r="AW11" s="37">
        <v>0</v>
      </c>
      <c r="AX11" s="37"/>
      <c r="AY11" s="37">
        <v>0</v>
      </c>
      <c r="AZ11" s="37"/>
      <c r="BA11" s="37"/>
      <c r="BB11" s="37">
        <v>0</v>
      </c>
      <c r="BC11" s="37"/>
      <c r="BD11" s="37">
        <v>0</v>
      </c>
      <c r="BE11" s="37"/>
      <c r="BF11" s="37">
        <v>0</v>
      </c>
      <c r="BG11" s="37">
        <v>0</v>
      </c>
      <c r="BH11" s="41">
        <v>0</v>
      </c>
      <c r="BI11" s="42"/>
      <c r="BJ11" s="37"/>
      <c r="BK11" s="37">
        <v>0</v>
      </c>
      <c r="BL11" s="37"/>
      <c r="BM11" s="37"/>
      <c r="BN11" s="37"/>
      <c r="BO11" s="37"/>
      <c r="BP11" s="37"/>
      <c r="BQ11" s="37">
        <v>0</v>
      </c>
      <c r="BR11" s="37"/>
      <c r="BS11" s="37">
        <v>0</v>
      </c>
      <c r="BT11" s="37"/>
      <c r="BU11" s="37">
        <v>0</v>
      </c>
      <c r="BV11" s="37"/>
      <c r="BW11" s="37">
        <v>0</v>
      </c>
      <c r="BX11" s="37"/>
      <c r="BY11" s="37">
        <v>0</v>
      </c>
      <c r="BZ11" s="37">
        <v>0</v>
      </c>
      <c r="CA11" s="37"/>
      <c r="CB11" s="37"/>
      <c r="CC11" s="8"/>
      <c r="CD11" s="39"/>
      <c r="CE11" s="8"/>
    </row>
    <row r="12" spans="1:83" ht="60" x14ac:dyDescent="0.25">
      <c r="A12" s="7">
        <v>4</v>
      </c>
      <c r="B12" s="7" t="s">
        <v>44</v>
      </c>
      <c r="C12" s="7" t="s">
        <v>37</v>
      </c>
      <c r="D12" s="37">
        <v>26.5</v>
      </c>
      <c r="E12" s="37"/>
      <c r="F12" s="37"/>
      <c r="G12" s="37">
        <v>23.91</v>
      </c>
      <c r="H12" s="47">
        <v>31.8</v>
      </c>
      <c r="I12" s="47">
        <v>31.8</v>
      </c>
      <c r="J12" s="37"/>
      <c r="K12" s="37">
        <v>23.3</v>
      </c>
      <c r="L12" s="37">
        <v>25.3</v>
      </c>
      <c r="M12" s="37"/>
      <c r="N12" s="37">
        <v>24006</v>
      </c>
      <c r="O12" s="37"/>
      <c r="P12" s="37"/>
      <c r="Q12" s="37">
        <v>25.5</v>
      </c>
      <c r="R12" s="37"/>
      <c r="S12" s="37">
        <v>26.5</v>
      </c>
      <c r="T12" s="37"/>
      <c r="U12" s="37">
        <v>43310.400000000001</v>
      </c>
      <c r="V12" s="37"/>
      <c r="W12" s="37">
        <v>24.5</v>
      </c>
      <c r="X12" s="37">
        <v>25.07</v>
      </c>
      <c r="Y12" s="37"/>
      <c r="Z12" s="37">
        <v>20.41</v>
      </c>
      <c r="AA12" s="39">
        <v>20.41</v>
      </c>
      <c r="AB12" s="37">
        <v>20.306000000000001</v>
      </c>
      <c r="AC12" s="37"/>
      <c r="AD12" s="37"/>
      <c r="AE12" s="37">
        <v>21.1</v>
      </c>
      <c r="AF12" s="37"/>
      <c r="AG12" s="37">
        <v>22.4</v>
      </c>
      <c r="AH12" s="37"/>
      <c r="AI12" s="37">
        <v>20.9</v>
      </c>
      <c r="AJ12" s="37"/>
      <c r="AK12" s="37">
        <v>20.3</v>
      </c>
      <c r="AL12" s="37"/>
      <c r="AM12" s="37">
        <v>24.5</v>
      </c>
      <c r="AN12" s="37">
        <v>21.515000000000001</v>
      </c>
      <c r="AO12" s="37"/>
      <c r="AP12" s="37">
        <v>27.594000000000001</v>
      </c>
      <c r="AQ12" s="37"/>
      <c r="AR12" s="37"/>
      <c r="AS12" s="37">
        <v>23.913</v>
      </c>
      <c r="AT12" s="45"/>
      <c r="AU12" s="45">
        <v>25.128</v>
      </c>
      <c r="AV12" s="37"/>
      <c r="AW12" s="37">
        <v>23.7</v>
      </c>
      <c r="AX12" s="37"/>
      <c r="AY12" s="37">
        <v>23.084</v>
      </c>
      <c r="AZ12" s="37"/>
      <c r="BA12" s="37">
        <v>21.3</v>
      </c>
      <c r="BB12" s="37">
        <v>23.7</v>
      </c>
      <c r="BC12" s="37"/>
      <c r="BD12" s="37">
        <v>24.4</v>
      </c>
      <c r="BE12" s="37"/>
      <c r="BF12" s="37">
        <v>0</v>
      </c>
      <c r="BG12" s="37">
        <v>22.9</v>
      </c>
      <c r="BH12" s="41">
        <v>25.8</v>
      </c>
      <c r="BI12" s="42"/>
      <c r="BJ12" s="37"/>
      <c r="BK12" s="37">
        <v>22.6</v>
      </c>
      <c r="BL12" s="37"/>
      <c r="BM12" s="37">
        <v>18.481000000000002</v>
      </c>
      <c r="BN12" s="37"/>
      <c r="BO12" s="37">
        <v>21.2</v>
      </c>
      <c r="BP12" s="37"/>
      <c r="BQ12" s="37">
        <v>21.667000000000002</v>
      </c>
      <c r="BR12" s="37"/>
      <c r="BS12" s="37">
        <v>19.396000000000001</v>
      </c>
      <c r="BT12" s="37"/>
      <c r="BU12" s="37">
        <v>21.5</v>
      </c>
      <c r="BV12" s="37"/>
      <c r="BW12" s="37">
        <v>20.074999999999999</v>
      </c>
      <c r="BX12" s="37"/>
      <c r="BY12" s="37">
        <v>20.9</v>
      </c>
      <c r="BZ12" s="37">
        <v>26.9</v>
      </c>
      <c r="CA12" s="37"/>
      <c r="CB12" s="37"/>
      <c r="CC12" s="8"/>
      <c r="CD12" s="39"/>
      <c r="CE12" s="8"/>
    </row>
    <row r="13" spans="1:83" ht="30" x14ac:dyDescent="0.25">
      <c r="A13" s="7">
        <v>5</v>
      </c>
      <c r="B13" s="7" t="s">
        <v>45</v>
      </c>
      <c r="C13" s="7" t="s">
        <v>46</v>
      </c>
      <c r="D13" s="37">
        <v>16</v>
      </c>
      <c r="E13" s="37"/>
      <c r="F13" s="37"/>
      <c r="G13" s="37">
        <v>48.07</v>
      </c>
      <c r="H13" s="37">
        <v>674</v>
      </c>
      <c r="I13" s="37">
        <v>50</v>
      </c>
      <c r="J13" s="37"/>
      <c r="K13" s="37">
        <v>4.0999999999999996</v>
      </c>
      <c r="L13" s="37">
        <v>21</v>
      </c>
      <c r="M13" s="37"/>
      <c r="N13" s="37">
        <v>182.66</v>
      </c>
      <c r="O13" s="37"/>
      <c r="P13" s="37"/>
      <c r="Q13" s="37">
        <v>5.2</v>
      </c>
      <c r="R13" s="37"/>
      <c r="S13" s="37">
        <v>10</v>
      </c>
      <c r="T13" s="37"/>
      <c r="U13" s="37">
        <v>3.2</v>
      </c>
      <c r="V13" s="37"/>
      <c r="W13" s="37">
        <v>46.85</v>
      </c>
      <c r="X13" s="37">
        <v>92.73</v>
      </c>
      <c r="Y13" s="37"/>
      <c r="Z13" s="37">
        <v>40.380000000000003</v>
      </c>
      <c r="AA13" s="39">
        <v>15.56</v>
      </c>
      <c r="AB13" s="37">
        <v>25.9</v>
      </c>
      <c r="AC13" s="37"/>
      <c r="AD13" s="37"/>
      <c r="AE13" s="37">
        <v>5.6</v>
      </c>
      <c r="AF13" s="37"/>
      <c r="AG13" s="37">
        <v>10</v>
      </c>
      <c r="AH13" s="37"/>
      <c r="AI13" s="37">
        <v>5.5</v>
      </c>
      <c r="AJ13" s="37"/>
      <c r="AK13" s="37">
        <v>16.62</v>
      </c>
      <c r="AL13" s="37"/>
      <c r="AM13" s="37">
        <v>14.7</v>
      </c>
      <c r="AN13" s="37">
        <v>12</v>
      </c>
      <c r="AO13" s="37"/>
      <c r="AP13" s="37">
        <v>59.17</v>
      </c>
      <c r="AQ13" s="37"/>
      <c r="AR13" s="37"/>
      <c r="AS13" s="37">
        <v>4.5999999999999996</v>
      </c>
      <c r="AT13" s="45"/>
      <c r="AU13" s="45">
        <v>15</v>
      </c>
      <c r="AV13" s="37"/>
      <c r="AW13" s="37">
        <v>23.4</v>
      </c>
      <c r="AX13" s="37"/>
      <c r="AY13" s="37">
        <v>13.6</v>
      </c>
      <c r="AZ13" s="37"/>
      <c r="BA13" s="37">
        <v>13.02</v>
      </c>
      <c r="BB13" s="37">
        <v>113.2</v>
      </c>
      <c r="BC13" s="37"/>
      <c r="BD13" s="37">
        <v>40.04</v>
      </c>
      <c r="BE13" s="37"/>
      <c r="BF13" s="37">
        <v>0</v>
      </c>
      <c r="BG13" s="37">
        <v>8.4499999999999993</v>
      </c>
      <c r="BH13" s="41">
        <v>94.46</v>
      </c>
      <c r="BI13" s="42"/>
      <c r="BJ13" s="37"/>
      <c r="BK13" s="37">
        <v>24.2</v>
      </c>
      <c r="BL13" s="37"/>
      <c r="BM13" s="37">
        <v>18</v>
      </c>
      <c r="BN13" s="37"/>
      <c r="BO13" s="37">
        <v>7</v>
      </c>
      <c r="BP13" s="37"/>
      <c r="BQ13" s="37">
        <v>9.7200000000000006</v>
      </c>
      <c r="BR13" s="37"/>
      <c r="BS13" s="37">
        <v>13.3</v>
      </c>
      <c r="BT13" s="37"/>
      <c r="BU13" s="37">
        <v>2.2000000000000002</v>
      </c>
      <c r="BV13" s="37"/>
      <c r="BW13" s="37">
        <v>9.0500000000000007</v>
      </c>
      <c r="BX13" s="37"/>
      <c r="BY13" s="37">
        <v>11.4</v>
      </c>
      <c r="BZ13" s="37">
        <v>19.420000000000002</v>
      </c>
      <c r="CA13" s="37"/>
      <c r="CB13" s="37"/>
      <c r="CC13" s="5"/>
      <c r="CD13" s="39"/>
      <c r="CE13" s="5"/>
    </row>
    <row r="14" spans="1:83" ht="30" x14ac:dyDescent="0.25">
      <c r="A14" s="7">
        <v>6</v>
      </c>
      <c r="B14" s="7" t="s">
        <v>47</v>
      </c>
      <c r="C14" s="7" t="s">
        <v>48</v>
      </c>
      <c r="D14" s="44">
        <v>12</v>
      </c>
      <c r="E14" s="44"/>
      <c r="F14" s="44"/>
      <c r="G14" s="44">
        <v>36</v>
      </c>
      <c r="H14" s="37">
        <v>356</v>
      </c>
      <c r="I14" s="37">
        <v>23</v>
      </c>
      <c r="J14" s="44"/>
      <c r="K14" s="44">
        <v>3</v>
      </c>
      <c r="L14" s="44">
        <v>14</v>
      </c>
      <c r="M14" s="44"/>
      <c r="N14" s="44">
        <v>134</v>
      </c>
      <c r="O14" s="44"/>
      <c r="P14" s="44"/>
      <c r="Q14" s="44">
        <v>4</v>
      </c>
      <c r="R14" s="44"/>
      <c r="S14" s="44">
        <v>7</v>
      </c>
      <c r="T14" s="44"/>
      <c r="U14" s="44">
        <v>7</v>
      </c>
      <c r="V14" s="44"/>
      <c r="W14" s="44">
        <v>34</v>
      </c>
      <c r="X14" s="44">
        <v>54</v>
      </c>
      <c r="Y14" s="44"/>
      <c r="Z14" s="38">
        <v>25</v>
      </c>
      <c r="AA14" s="40">
        <v>13</v>
      </c>
      <c r="AB14" s="44">
        <v>22</v>
      </c>
      <c r="AC14" s="44"/>
      <c r="AD14" s="44"/>
      <c r="AE14" s="44">
        <v>5</v>
      </c>
      <c r="AF14" s="44"/>
      <c r="AG14" s="44">
        <v>9</v>
      </c>
      <c r="AH14" s="44"/>
      <c r="AI14" s="44">
        <v>5</v>
      </c>
      <c r="AJ14" s="38"/>
      <c r="AK14" s="38">
        <v>8</v>
      </c>
      <c r="AL14" s="44"/>
      <c r="AM14" s="44">
        <v>17</v>
      </c>
      <c r="AN14" s="44">
        <v>8</v>
      </c>
      <c r="AO14" s="44"/>
      <c r="AP14" s="38">
        <v>34</v>
      </c>
      <c r="AQ14" s="38"/>
      <c r="AR14" s="44"/>
      <c r="AS14" s="44">
        <v>11</v>
      </c>
      <c r="AT14" s="46"/>
      <c r="AU14" s="46">
        <v>15</v>
      </c>
      <c r="AV14" s="44"/>
      <c r="AW14" s="44">
        <v>19</v>
      </c>
      <c r="AX14" s="44"/>
      <c r="AY14" s="44">
        <v>11</v>
      </c>
      <c r="AZ14" s="44"/>
      <c r="BA14" s="44">
        <v>10</v>
      </c>
      <c r="BB14" s="44">
        <v>76</v>
      </c>
      <c r="BC14" s="44"/>
      <c r="BD14" s="44">
        <v>23</v>
      </c>
      <c r="BE14" s="44"/>
      <c r="BF14" s="44">
        <v>0</v>
      </c>
      <c r="BG14" s="44">
        <v>6</v>
      </c>
      <c r="BH14" s="43">
        <v>54</v>
      </c>
      <c r="BI14" s="42"/>
      <c r="BJ14" s="38"/>
      <c r="BK14" s="38">
        <v>3</v>
      </c>
      <c r="BL14" s="44"/>
      <c r="BM14" s="44">
        <v>14</v>
      </c>
      <c r="BN14" s="44"/>
      <c r="BO14" s="44">
        <v>6</v>
      </c>
      <c r="BP14" s="44"/>
      <c r="BQ14" s="44">
        <v>7</v>
      </c>
      <c r="BR14" s="44"/>
      <c r="BS14" s="44">
        <v>10</v>
      </c>
      <c r="BT14" s="38"/>
      <c r="BU14" s="38">
        <v>2</v>
      </c>
      <c r="BV14" s="44"/>
      <c r="BW14" s="44">
        <v>5</v>
      </c>
      <c r="BX14" s="44"/>
      <c r="BY14" s="44">
        <v>6</v>
      </c>
      <c r="BZ14" s="44">
        <v>24</v>
      </c>
      <c r="CA14" s="44"/>
      <c r="CB14" s="38"/>
      <c r="CC14" s="8"/>
      <c r="CD14" s="40"/>
      <c r="CE14" s="8"/>
    </row>
    <row r="15" spans="1:83" ht="60" customHeight="1" x14ac:dyDescent="0.25">
      <c r="A15" s="7">
        <v>7</v>
      </c>
      <c r="B15" s="7" t="s">
        <v>49</v>
      </c>
      <c r="C15" s="7" t="s">
        <v>46</v>
      </c>
      <c r="D15" s="37">
        <v>16</v>
      </c>
      <c r="E15" s="37"/>
      <c r="F15" s="37"/>
      <c r="G15" s="37">
        <v>46.24</v>
      </c>
      <c r="H15" s="37">
        <v>398</v>
      </c>
      <c r="I15" s="37">
        <v>40.299999999999997</v>
      </c>
      <c r="J15" s="37"/>
      <c r="K15" s="37">
        <v>3.9</v>
      </c>
      <c r="L15" s="37">
        <v>18.5</v>
      </c>
      <c r="M15" s="37"/>
      <c r="N15" s="37">
        <v>175.32</v>
      </c>
      <c r="O15" s="37"/>
      <c r="P15" s="37"/>
      <c r="Q15" s="37">
        <v>3.5</v>
      </c>
      <c r="R15" s="37"/>
      <c r="S15" s="37">
        <v>9</v>
      </c>
      <c r="T15" s="37"/>
      <c r="U15" s="37">
        <v>4.7</v>
      </c>
      <c r="V15" s="37"/>
      <c r="W15" s="37">
        <v>44.33</v>
      </c>
      <c r="X15" s="37">
        <v>85.33</v>
      </c>
      <c r="Y15" s="37"/>
      <c r="Z15" s="37">
        <v>38.33</v>
      </c>
      <c r="AA15" s="39">
        <v>12.12</v>
      </c>
      <c r="AB15" s="37">
        <v>25.34</v>
      </c>
      <c r="AC15" s="37"/>
      <c r="AD15" s="37"/>
      <c r="AE15" s="37">
        <v>5</v>
      </c>
      <c r="AF15" s="37"/>
      <c r="AG15" s="37">
        <v>10</v>
      </c>
      <c r="AH15" s="37"/>
      <c r="AI15" s="37">
        <v>4.5</v>
      </c>
      <c r="AJ15" s="37"/>
      <c r="AK15" s="37">
        <v>11.02</v>
      </c>
      <c r="AL15" s="37"/>
      <c r="AM15" s="37">
        <v>14.1</v>
      </c>
      <c r="AN15" s="37">
        <v>8</v>
      </c>
      <c r="AO15" s="37"/>
      <c r="AP15" s="37">
        <v>54.83</v>
      </c>
      <c r="AQ15" s="37"/>
      <c r="AR15" s="37"/>
      <c r="AS15" s="37">
        <v>11.59</v>
      </c>
      <c r="AT15" s="45"/>
      <c r="AU15" s="45">
        <v>26</v>
      </c>
      <c r="AV15" s="37"/>
      <c r="AW15" s="37">
        <v>23.4</v>
      </c>
      <c r="AX15" s="37"/>
      <c r="AY15" s="37">
        <v>11</v>
      </c>
      <c r="AZ15" s="37"/>
      <c r="BA15" s="37">
        <v>11.32</v>
      </c>
      <c r="BB15" s="37">
        <v>92</v>
      </c>
      <c r="BC15" s="37"/>
      <c r="BD15" s="37">
        <v>36.020000000000003</v>
      </c>
      <c r="BE15" s="37"/>
      <c r="BF15" s="37">
        <v>0</v>
      </c>
      <c r="BG15" s="37">
        <v>7.95</v>
      </c>
      <c r="BH15" s="41">
        <v>50.89</v>
      </c>
      <c r="BI15" s="42"/>
      <c r="BJ15" s="37"/>
      <c r="BK15" s="37">
        <v>4.9000000000000004</v>
      </c>
      <c r="BL15" s="37"/>
      <c r="BM15" s="37">
        <v>16</v>
      </c>
      <c r="BN15" s="37"/>
      <c r="BO15" s="37">
        <v>7</v>
      </c>
      <c r="BP15" s="37"/>
      <c r="BQ15" s="37">
        <v>8.82</v>
      </c>
      <c r="BR15" s="37"/>
      <c r="BS15" s="37">
        <v>12.5</v>
      </c>
      <c r="BT15" s="37"/>
      <c r="BU15" s="37">
        <v>2</v>
      </c>
      <c r="BV15" s="37"/>
      <c r="BW15" s="37">
        <v>6.72</v>
      </c>
      <c r="BX15" s="37"/>
      <c r="BY15" s="37">
        <v>7.4</v>
      </c>
      <c r="BZ15" s="37">
        <v>19.420000000000002</v>
      </c>
      <c r="CA15" s="37"/>
      <c r="CB15" s="37"/>
      <c r="CC15" s="8"/>
      <c r="CD15" s="39"/>
      <c r="CE15" s="8"/>
    </row>
    <row r="16" spans="1:83" ht="30" x14ac:dyDescent="0.25">
      <c r="A16" s="7">
        <v>8</v>
      </c>
      <c r="B16" s="7" t="s">
        <v>50</v>
      </c>
      <c r="C16" s="7" t="s">
        <v>37</v>
      </c>
      <c r="D16" s="37">
        <v>2260.8000000000002</v>
      </c>
      <c r="E16" s="37"/>
      <c r="F16" s="37"/>
      <c r="G16" s="37">
        <v>7875.1</v>
      </c>
      <c r="H16" s="37">
        <v>120734.5</v>
      </c>
      <c r="I16" s="37">
        <v>11296.5</v>
      </c>
      <c r="J16" s="37"/>
      <c r="K16" s="37">
        <v>836.6</v>
      </c>
      <c r="L16" s="37">
        <v>3942</v>
      </c>
      <c r="M16" s="37"/>
      <c r="N16" s="37">
        <v>40369.08</v>
      </c>
      <c r="O16" s="37"/>
      <c r="P16" s="37"/>
      <c r="Q16" s="37">
        <v>1208.8</v>
      </c>
      <c r="R16" s="37"/>
      <c r="S16" s="37">
        <v>1884</v>
      </c>
      <c r="T16" s="37"/>
      <c r="U16" s="37">
        <v>797</v>
      </c>
      <c r="V16" s="37"/>
      <c r="W16" s="37">
        <v>9306.5</v>
      </c>
      <c r="X16" s="37">
        <v>12884.97</v>
      </c>
      <c r="Y16" s="37"/>
      <c r="Z16" s="37">
        <v>5249</v>
      </c>
      <c r="AA16" s="39">
        <v>3657.6</v>
      </c>
      <c r="AB16" s="37">
        <v>4971</v>
      </c>
      <c r="AC16" s="37"/>
      <c r="AD16" s="37"/>
      <c r="AE16" s="37">
        <v>1413.9</v>
      </c>
      <c r="AF16" s="37"/>
      <c r="AG16" s="37">
        <v>2004.3</v>
      </c>
      <c r="AH16" s="37"/>
      <c r="AI16" s="37">
        <v>1494.35</v>
      </c>
      <c r="AJ16" s="37"/>
      <c r="AK16" s="37">
        <v>3192.6</v>
      </c>
      <c r="AL16" s="37"/>
      <c r="AM16" s="37">
        <v>2538</v>
      </c>
      <c r="AN16" s="37">
        <v>1900</v>
      </c>
      <c r="AO16" s="37"/>
      <c r="AP16" s="37">
        <v>7124.4</v>
      </c>
      <c r="AQ16" s="37"/>
      <c r="AR16" s="37"/>
      <c r="AS16" s="37">
        <v>2006.3</v>
      </c>
      <c r="AT16" s="45"/>
      <c r="AU16" s="45">
        <v>8871.2800000000007</v>
      </c>
      <c r="AV16" s="37"/>
      <c r="AW16" s="37">
        <v>4789.2</v>
      </c>
      <c r="AX16" s="37"/>
      <c r="AY16" s="37">
        <v>5075.6000000000004</v>
      </c>
      <c r="AZ16" s="37"/>
      <c r="BA16" s="37">
        <v>1815.9</v>
      </c>
      <c r="BB16" s="37">
        <v>18391.2</v>
      </c>
      <c r="BC16" s="37"/>
      <c r="BD16" s="37">
        <v>8067.7</v>
      </c>
      <c r="BE16" s="37"/>
      <c r="BF16" s="37">
        <v>0</v>
      </c>
      <c r="BG16" s="37">
        <v>1369.2</v>
      </c>
      <c r="BH16" s="41">
        <v>14527.8</v>
      </c>
      <c r="BI16" s="42"/>
      <c r="BJ16" s="37"/>
      <c r="BK16" s="37">
        <v>3072</v>
      </c>
      <c r="BL16" s="37"/>
      <c r="BM16" s="37">
        <v>2857.2</v>
      </c>
      <c r="BN16" s="37"/>
      <c r="BO16" s="37">
        <v>1525.5</v>
      </c>
      <c r="BP16" s="37"/>
      <c r="BQ16" s="37">
        <v>1068.4000000000001</v>
      </c>
      <c r="BR16" s="37"/>
      <c r="BS16" s="37">
        <v>2087.6</v>
      </c>
      <c r="BT16" s="37"/>
      <c r="BU16" s="37">
        <v>566.79999999999995</v>
      </c>
      <c r="BV16" s="37"/>
      <c r="BW16" s="37">
        <v>1467.49</v>
      </c>
      <c r="BX16" s="37"/>
      <c r="BY16" s="37">
        <v>2360.4</v>
      </c>
      <c r="BZ16" s="37">
        <v>2638.95</v>
      </c>
      <c r="CA16" s="37"/>
      <c r="CB16" s="37"/>
      <c r="CC16" s="8"/>
      <c r="CD16" s="39"/>
      <c r="CE16" s="8"/>
    </row>
    <row r="17" spans="1:83" ht="60" x14ac:dyDescent="0.25">
      <c r="A17" s="7">
        <v>9</v>
      </c>
      <c r="B17" s="7" t="s">
        <v>51</v>
      </c>
      <c r="C17" s="7" t="s">
        <v>37</v>
      </c>
      <c r="D17" s="37">
        <v>422.2</v>
      </c>
      <c r="E17" s="37"/>
      <c r="F17" s="37"/>
      <c r="G17" s="37">
        <v>0</v>
      </c>
      <c r="H17" s="37">
        <v>30638.2</v>
      </c>
      <c r="I17" s="37">
        <v>2417.4</v>
      </c>
      <c r="J17" s="37"/>
      <c r="K17" s="37">
        <v>105</v>
      </c>
      <c r="L17" s="37">
        <v>311.33</v>
      </c>
      <c r="M17" s="37"/>
      <c r="N17" s="37">
        <v>1257.74</v>
      </c>
      <c r="O17" s="37"/>
      <c r="P17" s="37"/>
      <c r="Q17" s="37">
        <v>234.6</v>
      </c>
      <c r="R17" s="37"/>
      <c r="S17" s="37">
        <v>85.2</v>
      </c>
      <c r="T17" s="37"/>
      <c r="U17" s="37">
        <v>96</v>
      </c>
      <c r="V17" s="37"/>
      <c r="W17" s="37">
        <v>196</v>
      </c>
      <c r="X17" s="37">
        <v>224.4</v>
      </c>
      <c r="Y17" s="37"/>
      <c r="Z17" s="37">
        <v>0</v>
      </c>
      <c r="AA17" s="39">
        <v>500</v>
      </c>
      <c r="AB17" s="37">
        <v>1340.2</v>
      </c>
      <c r="AC17" s="37"/>
      <c r="AD17" s="37"/>
      <c r="AE17" s="37">
        <v>0</v>
      </c>
      <c r="AF17" s="37"/>
      <c r="AG17" s="37">
        <v>234</v>
      </c>
      <c r="AH17" s="37"/>
      <c r="AI17" s="37">
        <v>251.8</v>
      </c>
      <c r="AJ17" s="37"/>
      <c r="AK17" s="37">
        <v>155.69999999999999</v>
      </c>
      <c r="AL17" s="37"/>
      <c r="AM17" s="37">
        <v>0</v>
      </c>
      <c r="AN17" s="37">
        <v>160</v>
      </c>
      <c r="AO17" s="37"/>
      <c r="AP17" s="37">
        <v>1216</v>
      </c>
      <c r="AQ17" s="37"/>
      <c r="AR17" s="37"/>
      <c r="AS17" s="37">
        <v>104</v>
      </c>
      <c r="AT17" s="45"/>
      <c r="AU17" s="45">
        <v>355.2</v>
      </c>
      <c r="AV17" s="37"/>
      <c r="AW17" s="37">
        <v>296.10000000000002</v>
      </c>
      <c r="AX17" s="37"/>
      <c r="AY17" s="37">
        <v>990</v>
      </c>
      <c r="AZ17" s="37"/>
      <c r="BA17" s="37">
        <v>108.6</v>
      </c>
      <c r="BB17" s="37">
        <v>1869.1</v>
      </c>
      <c r="BC17" s="37"/>
      <c r="BD17" s="37">
        <v>313.2</v>
      </c>
      <c r="BE17" s="37"/>
      <c r="BF17" s="37">
        <v>0</v>
      </c>
      <c r="BG17" s="37">
        <v>0</v>
      </c>
      <c r="BH17" s="41">
        <v>886.66</v>
      </c>
      <c r="BI17" s="42"/>
      <c r="BJ17" s="37"/>
      <c r="BK17" s="37">
        <v>331.2</v>
      </c>
      <c r="BL17" s="37"/>
      <c r="BM17" s="37">
        <v>0</v>
      </c>
      <c r="BN17" s="37"/>
      <c r="BO17" s="37">
        <v>0</v>
      </c>
      <c r="BP17" s="37"/>
      <c r="BQ17" s="37">
        <v>211.4</v>
      </c>
      <c r="BR17" s="37"/>
      <c r="BS17" s="37">
        <v>233.4</v>
      </c>
      <c r="BT17" s="37"/>
      <c r="BU17" s="37">
        <v>106.6</v>
      </c>
      <c r="BV17" s="37"/>
      <c r="BW17" s="37">
        <v>159.61000000000001</v>
      </c>
      <c r="BX17" s="37"/>
      <c r="BY17" s="37">
        <v>350.2</v>
      </c>
      <c r="BZ17" s="37">
        <f>253.8+82.06</f>
        <v>335.86</v>
      </c>
      <c r="CA17" s="37"/>
      <c r="CB17" s="37"/>
      <c r="CC17" s="8"/>
      <c r="CD17" s="39"/>
      <c r="CE17" s="8"/>
    </row>
    <row r="18" spans="1:83" ht="45" x14ac:dyDescent="0.25">
      <c r="A18" s="7">
        <v>10</v>
      </c>
      <c r="B18" s="7" t="s">
        <v>52</v>
      </c>
      <c r="C18" s="7" t="s">
        <v>37</v>
      </c>
      <c r="D18" s="37">
        <v>846</v>
      </c>
      <c r="E18" s="37"/>
      <c r="F18" s="37"/>
      <c r="G18" s="37">
        <v>4755</v>
      </c>
      <c r="H18" s="37">
        <v>67283.7</v>
      </c>
      <c r="I18" s="37">
        <v>6805.7</v>
      </c>
      <c r="J18" s="37"/>
      <c r="K18" s="37">
        <v>710.34</v>
      </c>
      <c r="L18" s="37">
        <v>2765.95</v>
      </c>
      <c r="M18" s="37"/>
      <c r="N18" s="37">
        <v>18124.2</v>
      </c>
      <c r="O18" s="37"/>
      <c r="P18" s="37"/>
      <c r="Q18" s="37">
        <v>227.1</v>
      </c>
      <c r="R18" s="37"/>
      <c r="S18" s="37">
        <v>380</v>
      </c>
      <c r="T18" s="37"/>
      <c r="U18" s="37">
        <v>143</v>
      </c>
      <c r="V18" s="37"/>
      <c r="W18" s="37">
        <v>4600.5</v>
      </c>
      <c r="X18" s="37">
        <v>7231.65</v>
      </c>
      <c r="Y18" s="37"/>
      <c r="Z18" s="37">
        <v>742</v>
      </c>
      <c r="AA18" s="39">
        <v>1369.2</v>
      </c>
      <c r="AB18" s="37">
        <v>2876.5</v>
      </c>
      <c r="AC18" s="37"/>
      <c r="AD18" s="37"/>
      <c r="AE18" s="37">
        <v>459.6</v>
      </c>
      <c r="AF18" s="37"/>
      <c r="AG18" s="37">
        <v>312</v>
      </c>
      <c r="AH18" s="37"/>
      <c r="AI18" s="37">
        <v>362.8</v>
      </c>
      <c r="AJ18" s="37"/>
      <c r="AK18" s="37">
        <v>840.5</v>
      </c>
      <c r="AL18" s="37"/>
      <c r="AM18" s="37">
        <v>1221</v>
      </c>
      <c r="AN18" s="37">
        <v>780</v>
      </c>
      <c r="AO18" s="37"/>
      <c r="AP18" s="37">
        <v>3754.6</v>
      </c>
      <c r="AQ18" s="37"/>
      <c r="AR18" s="37"/>
      <c r="AS18" s="37">
        <v>500.9</v>
      </c>
      <c r="AT18" s="45"/>
      <c r="AU18" s="45">
        <v>856.15</v>
      </c>
      <c r="AV18" s="37"/>
      <c r="AW18" s="37">
        <v>1220.4000000000001</v>
      </c>
      <c r="AX18" s="37"/>
      <c r="AY18" s="37">
        <v>2368</v>
      </c>
      <c r="AZ18" s="37"/>
      <c r="BA18" s="37">
        <v>604.79999999999995</v>
      </c>
      <c r="BB18" s="37">
        <v>11164.6</v>
      </c>
      <c r="BC18" s="37"/>
      <c r="BD18" s="37">
        <v>3589</v>
      </c>
      <c r="BE18" s="37"/>
      <c r="BF18" s="37">
        <v>0</v>
      </c>
      <c r="BG18" s="37">
        <v>433.2</v>
      </c>
      <c r="BH18" s="41">
        <v>7152.44</v>
      </c>
      <c r="BI18" s="42"/>
      <c r="BJ18" s="37"/>
      <c r="BK18" s="37">
        <v>946.8</v>
      </c>
      <c r="BL18" s="37"/>
      <c r="BM18" s="37">
        <v>1005.6</v>
      </c>
      <c r="BN18" s="37"/>
      <c r="BO18" s="37">
        <v>244.1</v>
      </c>
      <c r="BP18" s="37"/>
      <c r="BQ18" s="37">
        <v>847.5</v>
      </c>
      <c r="BR18" s="37"/>
      <c r="BS18" s="37">
        <v>650</v>
      </c>
      <c r="BT18" s="37"/>
      <c r="BU18" s="37">
        <v>211.5</v>
      </c>
      <c r="BV18" s="37"/>
      <c r="BW18" s="37">
        <v>498.37</v>
      </c>
      <c r="BX18" s="37"/>
      <c r="BY18" s="37">
        <v>683.3</v>
      </c>
      <c r="BZ18" s="37">
        <v>2726.59</v>
      </c>
      <c r="CA18" s="37"/>
      <c r="CB18" s="37"/>
      <c r="CC18" s="5"/>
      <c r="CD18" s="39"/>
      <c r="CE18" s="5"/>
    </row>
    <row r="19" spans="1:83" ht="30" x14ac:dyDescent="0.25">
      <c r="A19" s="7">
        <v>11</v>
      </c>
      <c r="B19" s="7" t="s">
        <v>53</v>
      </c>
      <c r="C19" s="7" t="s">
        <v>54</v>
      </c>
      <c r="D19" s="44">
        <v>42</v>
      </c>
      <c r="E19" s="44"/>
      <c r="F19" s="44"/>
      <c r="G19" s="44">
        <v>42</v>
      </c>
      <c r="H19" s="37">
        <v>42</v>
      </c>
      <c r="I19" s="37">
        <v>42</v>
      </c>
      <c r="J19" s="44"/>
      <c r="K19" s="44">
        <v>42</v>
      </c>
      <c r="L19" s="44">
        <v>42</v>
      </c>
      <c r="M19" s="44"/>
      <c r="N19" s="44">
        <v>42</v>
      </c>
      <c r="O19" s="44"/>
      <c r="P19" s="44"/>
      <c r="Q19" s="44">
        <v>42</v>
      </c>
      <c r="R19" s="44"/>
      <c r="S19" s="44">
        <v>42</v>
      </c>
      <c r="T19" s="44"/>
      <c r="U19" s="44">
        <v>42</v>
      </c>
      <c r="V19" s="44"/>
      <c r="W19" s="44">
        <v>56</v>
      </c>
      <c r="X19" s="44">
        <v>49</v>
      </c>
      <c r="Y19" s="44"/>
      <c r="Z19" s="38">
        <v>56</v>
      </c>
      <c r="AA19" s="40">
        <v>42</v>
      </c>
      <c r="AB19" s="44">
        <v>42</v>
      </c>
      <c r="AC19" s="44"/>
      <c r="AD19" s="44"/>
      <c r="AE19" s="44">
        <v>42</v>
      </c>
      <c r="AF19" s="44"/>
      <c r="AG19" s="44">
        <v>42</v>
      </c>
      <c r="AH19" s="44"/>
      <c r="AI19" s="44">
        <v>42</v>
      </c>
      <c r="AJ19" s="38"/>
      <c r="AK19" s="38">
        <v>42</v>
      </c>
      <c r="AL19" s="44"/>
      <c r="AM19" s="44">
        <v>56</v>
      </c>
      <c r="AN19" s="44">
        <v>42</v>
      </c>
      <c r="AO19" s="44"/>
      <c r="AP19" s="38">
        <v>42</v>
      </c>
      <c r="AQ19" s="38"/>
      <c r="AR19" s="44"/>
      <c r="AS19" s="44">
        <v>42</v>
      </c>
      <c r="AT19" s="46"/>
      <c r="AU19" s="46">
        <v>42</v>
      </c>
      <c r="AV19" s="44"/>
      <c r="AW19" s="44">
        <v>42</v>
      </c>
      <c r="AX19" s="44"/>
      <c r="AY19" s="44">
        <v>42</v>
      </c>
      <c r="AZ19" s="44"/>
      <c r="BA19" s="44">
        <v>42</v>
      </c>
      <c r="BB19" s="44">
        <v>42</v>
      </c>
      <c r="BC19" s="44"/>
      <c r="BD19" s="44">
        <v>56</v>
      </c>
      <c r="BE19" s="44"/>
      <c r="BF19" s="44"/>
      <c r="BG19" s="44">
        <v>42</v>
      </c>
      <c r="BH19" s="43">
        <v>42</v>
      </c>
      <c r="BI19" s="42"/>
      <c r="BJ19" s="38"/>
      <c r="BK19" s="38">
        <v>42</v>
      </c>
      <c r="BL19" s="44"/>
      <c r="BM19" s="44">
        <v>42</v>
      </c>
      <c r="BN19" s="44"/>
      <c r="BO19" s="44">
        <v>42</v>
      </c>
      <c r="BP19" s="44"/>
      <c r="BQ19" s="44">
        <v>42</v>
      </c>
      <c r="BR19" s="44"/>
      <c r="BS19" s="44">
        <v>42</v>
      </c>
      <c r="BT19" s="38"/>
      <c r="BU19" s="38">
        <v>42</v>
      </c>
      <c r="BV19" s="44"/>
      <c r="BW19" s="44">
        <v>42</v>
      </c>
      <c r="BX19" s="44"/>
      <c r="BY19" s="44">
        <v>42</v>
      </c>
      <c r="BZ19" s="44">
        <v>42</v>
      </c>
      <c r="CA19" s="44"/>
      <c r="CB19" s="38"/>
      <c r="CC19" s="5"/>
      <c r="CD19" s="40"/>
      <c r="CE19" s="5"/>
    </row>
    <row r="20" spans="1:83" ht="45" x14ac:dyDescent="0.25">
      <c r="A20" s="7">
        <v>12</v>
      </c>
      <c r="B20" s="7" t="s">
        <v>55</v>
      </c>
      <c r="C20" s="7" t="s">
        <v>20</v>
      </c>
      <c r="D20" s="44">
        <v>8</v>
      </c>
      <c r="E20" s="44"/>
      <c r="F20" s="44"/>
      <c r="G20" s="44">
        <v>35</v>
      </c>
      <c r="H20" s="37">
        <v>355</v>
      </c>
      <c r="I20" s="37">
        <v>16</v>
      </c>
      <c r="J20" s="44"/>
      <c r="K20" s="44">
        <v>5</v>
      </c>
      <c r="L20" s="44">
        <v>8</v>
      </c>
      <c r="M20" s="44"/>
      <c r="N20" s="44">
        <v>107</v>
      </c>
      <c r="O20" s="44"/>
      <c r="P20" s="44"/>
      <c r="Q20" s="44">
        <v>0</v>
      </c>
      <c r="R20" s="44"/>
      <c r="S20" s="44">
        <v>5</v>
      </c>
      <c r="T20" s="44"/>
      <c r="U20" s="44">
        <v>5</v>
      </c>
      <c r="V20" s="44"/>
      <c r="W20" s="44">
        <v>29</v>
      </c>
      <c r="X20" s="44">
        <v>59</v>
      </c>
      <c r="Y20" s="44"/>
      <c r="Z20" s="38">
        <v>29</v>
      </c>
      <c r="AA20" s="40">
        <v>8</v>
      </c>
      <c r="AB20" s="44">
        <v>20</v>
      </c>
      <c r="AC20" s="44"/>
      <c r="AD20" s="44"/>
      <c r="AE20" s="44">
        <v>6</v>
      </c>
      <c r="AF20" s="44"/>
      <c r="AG20" s="44">
        <v>13</v>
      </c>
      <c r="AH20" s="44"/>
      <c r="AI20" s="44">
        <v>7</v>
      </c>
      <c r="AJ20" s="38"/>
      <c r="AK20" s="38">
        <v>20</v>
      </c>
      <c r="AL20" s="44"/>
      <c r="AM20" s="44">
        <v>26</v>
      </c>
      <c r="AN20" s="44">
        <v>8</v>
      </c>
      <c r="AO20" s="44"/>
      <c r="AP20" s="38">
        <v>30</v>
      </c>
      <c r="AQ20" s="38"/>
      <c r="AR20" s="44"/>
      <c r="AS20" s="44">
        <v>5</v>
      </c>
      <c r="AT20" s="46"/>
      <c r="AU20" s="46">
        <v>11</v>
      </c>
      <c r="AV20" s="44"/>
      <c r="AW20" s="44">
        <v>9</v>
      </c>
      <c r="AX20" s="44"/>
      <c r="AY20" s="44">
        <v>7</v>
      </c>
      <c r="AZ20" s="44"/>
      <c r="BA20" s="44">
        <v>12</v>
      </c>
      <c r="BB20" s="44">
        <v>58</v>
      </c>
      <c r="BC20" s="44"/>
      <c r="BD20" s="44">
        <v>27</v>
      </c>
      <c r="BE20" s="44"/>
      <c r="BF20" s="44">
        <v>0</v>
      </c>
      <c r="BG20" s="44">
        <v>6</v>
      </c>
      <c r="BH20" s="43">
        <v>48</v>
      </c>
      <c r="BI20" s="42"/>
      <c r="BJ20" s="38"/>
      <c r="BK20" s="38">
        <v>30</v>
      </c>
      <c r="BL20" s="44"/>
      <c r="BM20" s="44">
        <v>11</v>
      </c>
      <c r="BN20" s="44"/>
      <c r="BO20" s="44">
        <v>7</v>
      </c>
      <c r="BP20" s="44"/>
      <c r="BQ20" s="44">
        <v>6</v>
      </c>
      <c r="BR20" s="44"/>
      <c r="BS20" s="44">
        <v>13</v>
      </c>
      <c r="BT20" s="38"/>
      <c r="BU20" s="38">
        <v>2</v>
      </c>
      <c r="BV20" s="44"/>
      <c r="BW20" s="44">
        <v>5</v>
      </c>
      <c r="BX20" s="44"/>
      <c r="BY20" s="44">
        <v>5</v>
      </c>
      <c r="BZ20" s="44">
        <v>31</v>
      </c>
      <c r="CA20" s="44"/>
      <c r="CB20" s="38"/>
      <c r="CC20" s="5"/>
      <c r="CD20" s="40"/>
      <c r="CE20" s="5"/>
    </row>
    <row r="21" spans="1:83" ht="165" x14ac:dyDescent="0.25">
      <c r="A21" s="15" t="s">
        <v>56</v>
      </c>
      <c r="B21" s="16"/>
      <c r="C21" s="11"/>
      <c r="D21" s="10" t="s">
        <v>57</v>
      </c>
      <c r="E21" s="11"/>
      <c r="F21" s="12" t="s">
        <v>57</v>
      </c>
      <c r="G21" s="11"/>
      <c r="H21" s="10" t="s">
        <v>57</v>
      </c>
      <c r="I21" s="11"/>
      <c r="J21" s="12" t="s">
        <v>57</v>
      </c>
      <c r="K21" s="11"/>
      <c r="L21" s="10" t="s">
        <v>57</v>
      </c>
      <c r="M21" s="11"/>
      <c r="N21" s="12" t="s">
        <v>57</v>
      </c>
      <c r="O21" s="11"/>
      <c r="P21" s="10" t="s">
        <v>57</v>
      </c>
      <c r="Q21" s="11"/>
      <c r="R21" s="12" t="s">
        <v>57</v>
      </c>
      <c r="S21" s="11"/>
      <c r="T21" s="10" t="s">
        <v>57</v>
      </c>
      <c r="U21" s="11"/>
      <c r="V21" s="12" t="s">
        <v>57</v>
      </c>
      <c r="W21" s="11"/>
      <c r="X21" s="10" t="s">
        <v>57</v>
      </c>
      <c r="Y21" s="11"/>
      <c r="Z21" s="12" t="s">
        <v>57</v>
      </c>
      <c r="AA21" s="11"/>
      <c r="AB21" s="10" t="s">
        <v>57</v>
      </c>
      <c r="AC21" s="11"/>
      <c r="AD21" s="10" t="s">
        <v>57</v>
      </c>
      <c r="AE21" s="11"/>
      <c r="AF21" s="10" t="s">
        <v>57</v>
      </c>
      <c r="AG21" s="11"/>
      <c r="AH21" s="12" t="s">
        <v>57</v>
      </c>
      <c r="AI21" s="11"/>
      <c r="AJ21" s="10" t="s">
        <v>57</v>
      </c>
      <c r="AK21" s="11"/>
      <c r="AL21" s="12" t="s">
        <v>57</v>
      </c>
      <c r="AM21" s="11"/>
      <c r="AN21" s="10" t="s">
        <v>57</v>
      </c>
      <c r="AO21" s="11"/>
      <c r="AP21" s="12" t="s">
        <v>57</v>
      </c>
      <c r="AQ21" s="11"/>
      <c r="AR21" s="10" t="s">
        <v>57</v>
      </c>
      <c r="AS21" s="11"/>
      <c r="AT21" s="12"/>
      <c r="AU21" s="11"/>
      <c r="AV21" s="10"/>
      <c r="AW21" s="11"/>
      <c r="AX21" s="12"/>
      <c r="AY21" s="11"/>
      <c r="AZ21" s="10"/>
      <c r="BA21" s="11"/>
      <c r="BB21" s="12"/>
      <c r="BC21" s="11"/>
      <c r="BD21" s="12"/>
      <c r="BE21" s="11"/>
      <c r="BF21" s="12"/>
      <c r="BG21" s="11"/>
      <c r="BH21" s="12"/>
      <c r="BI21" s="11"/>
      <c r="BJ21" s="12"/>
      <c r="BK21" s="11"/>
      <c r="BL21" s="12"/>
      <c r="BM21" s="11"/>
      <c r="BN21" s="12"/>
      <c r="BO21" s="11"/>
      <c r="BP21" s="12"/>
      <c r="BQ21" s="11"/>
      <c r="BR21" s="12"/>
      <c r="BS21" s="11"/>
      <c r="BT21" s="12"/>
      <c r="BU21" s="11"/>
      <c r="BV21" s="12"/>
      <c r="BW21" s="11"/>
      <c r="BX21" s="12"/>
      <c r="BY21" s="11"/>
      <c r="BZ21" s="12"/>
      <c r="CA21" s="11"/>
      <c r="CB21" s="12"/>
      <c r="CC21" s="11"/>
      <c r="CD21" s="12"/>
      <c r="CE21" s="11"/>
    </row>
    <row r="22" spans="1:8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8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83" x14ac:dyDescent="0.25">
      <c r="A24" s="9"/>
      <c r="B24" s="9"/>
      <c r="C24" s="9" t="s">
        <v>58</v>
      </c>
      <c r="D24" s="9">
        <v>4.2653594769999996</v>
      </c>
      <c r="E24" s="9"/>
      <c r="F24" s="9"/>
      <c r="G24" s="9"/>
      <c r="H24" s="9">
        <v>1.4418449200000001</v>
      </c>
      <c r="I24" s="9">
        <v>1.0485294119999999</v>
      </c>
      <c r="J24" s="9">
        <v>5.4441868510000004</v>
      </c>
      <c r="K24" s="9"/>
      <c r="L24" s="9">
        <v>3.19642669</v>
      </c>
      <c r="M24" s="9"/>
      <c r="N24" s="9"/>
      <c r="O24" s="9"/>
      <c r="P24" s="9">
        <v>3.1255019179999999</v>
      </c>
      <c r="Q24" s="9"/>
      <c r="R24" s="9">
        <v>3.7105882349999999</v>
      </c>
      <c r="S24" s="9"/>
      <c r="T24" s="9"/>
      <c r="U24" s="9"/>
      <c r="V24" s="9">
        <v>7.2751521300000004</v>
      </c>
      <c r="W24" s="9"/>
      <c r="X24" s="9"/>
      <c r="Y24" s="9"/>
      <c r="Z24" s="9">
        <v>5.012941176</v>
      </c>
      <c r="AA24" s="9"/>
      <c r="AB24" s="9">
        <v>1.680873104</v>
      </c>
      <c r="AC24" s="9"/>
      <c r="AD24" s="9">
        <v>5.3778823530000004</v>
      </c>
      <c r="AE24" s="9"/>
      <c r="AF24" s="9">
        <v>5.2810410220000001</v>
      </c>
      <c r="AG24" s="9"/>
      <c r="AH24" s="9"/>
      <c r="AI24" s="9"/>
      <c r="AJ24" s="9">
        <v>13.295798319999999</v>
      </c>
      <c r="AK24" s="9"/>
      <c r="AL24" s="9"/>
      <c r="AM24" s="9"/>
      <c r="AN24" s="9"/>
      <c r="AO24" s="9"/>
      <c r="AP24" s="9">
        <v>1.5289760349999999</v>
      </c>
      <c r="AQ24" s="9">
        <v>0.65316742080000001</v>
      </c>
      <c r="AR24" s="9">
        <v>7.3559592760000001</v>
      </c>
      <c r="AS24" s="9"/>
      <c r="AT24" s="9">
        <v>7.3559592760000001</v>
      </c>
      <c r="AU24" s="9"/>
      <c r="AV24" s="9">
        <v>7.3559592760000001</v>
      </c>
      <c r="AW24" s="9"/>
      <c r="AX24" s="9">
        <v>7.3559592760000001</v>
      </c>
      <c r="AY24" s="9"/>
      <c r="AZ24" s="9">
        <v>7.3559592760000001</v>
      </c>
      <c r="BA24" s="9"/>
      <c r="BB24" s="9">
        <v>7.3559592760000001</v>
      </c>
      <c r="BC24" s="9"/>
      <c r="BD24" s="9">
        <v>7.3559592760000001</v>
      </c>
      <c r="BE24" s="9"/>
      <c r="BF24" s="9">
        <v>7.3559592760000001</v>
      </c>
      <c r="BG24" s="9"/>
      <c r="BH24" s="9">
        <v>7.3559592760000001</v>
      </c>
      <c r="BI24" s="9"/>
      <c r="BJ24" s="9">
        <v>7.3559592760000001</v>
      </c>
      <c r="BK24" s="9"/>
      <c r="BL24" s="9">
        <v>7.3559592760000001</v>
      </c>
      <c r="BM24" s="9"/>
      <c r="BN24" s="9">
        <v>7.3559592760000001</v>
      </c>
      <c r="BO24" s="9"/>
      <c r="BP24" s="9">
        <v>7.3559592760000001</v>
      </c>
      <c r="BQ24" s="9"/>
      <c r="BR24" s="9">
        <v>7.3559592760000001</v>
      </c>
      <c r="BS24" s="9"/>
      <c r="BT24" s="9">
        <v>7.3559592760000001</v>
      </c>
      <c r="BU24" s="9"/>
      <c r="BV24" s="9">
        <v>7.3559592760000001</v>
      </c>
      <c r="BW24" s="9"/>
      <c r="BX24" s="9">
        <v>7.3559592760000001</v>
      </c>
      <c r="BY24" s="9"/>
      <c r="BZ24" s="9">
        <v>7.3559592760000001</v>
      </c>
      <c r="CA24" s="9"/>
      <c r="CB24" s="9">
        <v>7.3559592760000001</v>
      </c>
      <c r="CC24" s="9"/>
      <c r="CD24" s="9">
        <v>7.3559592760000001</v>
      </c>
      <c r="CE24" s="9"/>
    </row>
    <row r="25" spans="1:83" x14ac:dyDescent="0.25">
      <c r="A25" s="9"/>
      <c r="B25" s="9"/>
      <c r="C25" s="9" t="s">
        <v>59</v>
      </c>
      <c r="D25" s="9">
        <v>1.310927918</v>
      </c>
      <c r="E25" s="9"/>
      <c r="F25" s="9"/>
      <c r="G25" s="9"/>
      <c r="H25" s="9">
        <v>1.17404705</v>
      </c>
      <c r="I25" s="9">
        <v>1.117879418</v>
      </c>
      <c r="J25" s="9">
        <v>1.204493359</v>
      </c>
      <c r="K25" s="9"/>
      <c r="L25" s="9">
        <v>1.122305525</v>
      </c>
      <c r="M25" s="9"/>
      <c r="N25" s="9"/>
      <c r="O25" s="9"/>
      <c r="P25" s="9">
        <v>1.1954487549999999</v>
      </c>
      <c r="Q25" s="9"/>
      <c r="R25" s="9">
        <v>1</v>
      </c>
      <c r="S25" s="9"/>
      <c r="T25" s="9"/>
      <c r="U25" s="9"/>
      <c r="V25" s="9">
        <v>1</v>
      </c>
      <c r="W25" s="9"/>
      <c r="X25" s="9"/>
      <c r="Y25" s="9"/>
      <c r="Z25" s="9">
        <v>1.731616201</v>
      </c>
      <c r="AA25" s="9"/>
      <c r="AB25" s="9">
        <v>1.0924216419999999</v>
      </c>
      <c r="AC25" s="9"/>
      <c r="AD25" s="9">
        <v>1.0217359290000001</v>
      </c>
      <c r="AE25" s="9"/>
      <c r="AF25" s="9">
        <v>1.2872182590000001</v>
      </c>
      <c r="AG25" s="9"/>
      <c r="AH25" s="9"/>
      <c r="AI25" s="9"/>
      <c r="AJ25" s="9">
        <v>1.2499981790000001</v>
      </c>
      <c r="AK25" s="9"/>
      <c r="AL25" s="9"/>
      <c r="AM25" s="9"/>
      <c r="AN25" s="9"/>
      <c r="AO25" s="9"/>
      <c r="AP25" s="9">
        <v>1.187137364</v>
      </c>
      <c r="AQ25" s="9">
        <v>2.349190283</v>
      </c>
      <c r="AR25" s="9">
        <v>1.2487300610000001</v>
      </c>
      <c r="AS25" s="9"/>
      <c r="AT25" s="9">
        <v>1.2487300610000001</v>
      </c>
      <c r="AU25" s="9"/>
      <c r="AV25" s="9">
        <v>1.2487300610000001</v>
      </c>
      <c r="AW25" s="9"/>
      <c r="AX25" s="9">
        <v>1.2487300610000001</v>
      </c>
      <c r="AY25" s="9"/>
      <c r="AZ25" s="9">
        <v>1.2487300610000001</v>
      </c>
      <c r="BA25" s="9"/>
      <c r="BB25" s="9">
        <v>1.2487300610000001</v>
      </c>
      <c r="BC25" s="9"/>
      <c r="BD25" s="9">
        <v>1.2487300610000001</v>
      </c>
      <c r="BE25" s="9"/>
      <c r="BF25" s="9">
        <v>1.2487300610000001</v>
      </c>
      <c r="BG25" s="9"/>
      <c r="BH25" s="9">
        <v>1.2487300610000001</v>
      </c>
      <c r="BI25" s="9"/>
      <c r="BJ25" s="9">
        <v>1.2487300610000001</v>
      </c>
      <c r="BK25" s="9"/>
      <c r="BL25" s="9">
        <v>1.2487300610000001</v>
      </c>
      <c r="BM25" s="9"/>
      <c r="BN25" s="9">
        <v>1.2487300610000001</v>
      </c>
      <c r="BO25" s="9"/>
      <c r="BP25" s="9">
        <v>1.2487300610000001</v>
      </c>
      <c r="BQ25" s="9"/>
      <c r="BR25" s="9">
        <v>1.2487300610000001</v>
      </c>
      <c r="BS25" s="9"/>
      <c r="BT25" s="9">
        <v>1.2487300610000001</v>
      </c>
      <c r="BU25" s="9"/>
      <c r="BV25" s="9">
        <v>1.2487300610000001</v>
      </c>
      <c r="BW25" s="9"/>
      <c r="BX25" s="9">
        <v>1.2487300610000001</v>
      </c>
      <c r="BY25" s="9"/>
      <c r="BZ25" s="9">
        <v>1.2487300610000001</v>
      </c>
      <c r="CA25" s="9"/>
      <c r="CB25" s="9">
        <v>1.2487300610000001</v>
      </c>
      <c r="CC25" s="9"/>
      <c r="CD25" s="9">
        <v>1.2487300610000001</v>
      </c>
      <c r="CE25" s="9"/>
    </row>
    <row r="26" spans="1:83" x14ac:dyDescent="0.25">
      <c r="A26" s="9"/>
      <c r="B26" s="9"/>
      <c r="C26" s="9" t="s">
        <v>60</v>
      </c>
      <c r="D26" s="9">
        <v>0.38349207810000002</v>
      </c>
      <c r="E26" s="9"/>
      <c r="F26" s="9"/>
      <c r="G26" s="9"/>
      <c r="H26" s="9">
        <v>0.50141976960000001</v>
      </c>
      <c r="I26" s="9">
        <v>0.87102473499999999</v>
      </c>
      <c r="J26" s="9">
        <v>0.68052131010000005</v>
      </c>
      <c r="K26" s="9"/>
      <c r="L26" s="9">
        <v>0.37900570300000003</v>
      </c>
      <c r="M26" s="9"/>
      <c r="N26" s="9"/>
      <c r="O26" s="9"/>
      <c r="P26" s="9">
        <v>0.53789383670000002</v>
      </c>
      <c r="Q26" s="9"/>
      <c r="R26" s="9">
        <v>0.6610113474</v>
      </c>
      <c r="S26" s="9"/>
      <c r="T26" s="9"/>
      <c r="U26" s="9"/>
      <c r="V26" s="9">
        <v>0.55918698180000004</v>
      </c>
      <c r="W26" s="9"/>
      <c r="X26" s="9"/>
      <c r="Y26" s="9"/>
      <c r="Z26" s="9">
        <v>0.4167139775</v>
      </c>
      <c r="AA26" s="9"/>
      <c r="AB26" s="9">
        <v>0.54984198610000001</v>
      </c>
      <c r="AC26" s="9"/>
      <c r="AD26" s="9">
        <v>0.65423465420000004</v>
      </c>
      <c r="AE26" s="9"/>
      <c r="AF26" s="9">
        <v>0.60117064890000005</v>
      </c>
      <c r="AG26" s="9"/>
      <c r="AH26" s="9"/>
      <c r="AI26" s="9"/>
      <c r="AJ26" s="9">
        <v>0.58617575430000002</v>
      </c>
      <c r="AK26" s="9"/>
      <c r="AL26" s="9"/>
      <c r="AM26" s="9"/>
      <c r="AN26" s="9"/>
      <c r="AO26" s="9"/>
      <c r="AP26" s="9">
        <v>0.65201053149999999</v>
      </c>
      <c r="AQ26" s="9">
        <v>0.61273876199999999</v>
      </c>
      <c r="AR26" s="9">
        <v>0.90537613149999996</v>
      </c>
      <c r="AS26" s="9"/>
      <c r="AT26" s="9">
        <v>0.90537613149999996</v>
      </c>
      <c r="AU26" s="9"/>
      <c r="AV26" s="9">
        <v>0.90537613149999996</v>
      </c>
      <c r="AW26" s="9"/>
      <c r="AX26" s="9">
        <v>0.90537613149999996</v>
      </c>
      <c r="AY26" s="9"/>
      <c r="AZ26" s="9">
        <v>0.90537613149999996</v>
      </c>
      <c r="BA26" s="9"/>
      <c r="BB26" s="9">
        <v>0.90537613149999996</v>
      </c>
      <c r="BC26" s="9"/>
      <c r="BD26" s="9">
        <v>0.90537613149999996</v>
      </c>
      <c r="BE26" s="9"/>
      <c r="BF26" s="9">
        <v>0.90537613149999996</v>
      </c>
      <c r="BG26" s="9"/>
      <c r="BH26" s="9">
        <v>0.90537613149999996</v>
      </c>
      <c r="BI26" s="9"/>
      <c r="BJ26" s="9">
        <v>0.90537613149999996</v>
      </c>
      <c r="BK26" s="9"/>
      <c r="BL26" s="9">
        <v>0.90537613149999996</v>
      </c>
      <c r="BM26" s="9"/>
      <c r="BN26" s="9">
        <v>0.90537613149999996</v>
      </c>
      <c r="BO26" s="9"/>
      <c r="BP26" s="9">
        <v>0.90537613149999996</v>
      </c>
      <c r="BQ26" s="9"/>
      <c r="BR26" s="9">
        <v>0.90537613149999996</v>
      </c>
      <c r="BS26" s="9"/>
      <c r="BT26" s="9">
        <v>0.90537613149999996</v>
      </c>
      <c r="BU26" s="9"/>
      <c r="BV26" s="9">
        <v>0.90537613149999996</v>
      </c>
      <c r="BW26" s="9"/>
      <c r="BX26" s="9">
        <v>0.90537613149999996</v>
      </c>
      <c r="BY26" s="9"/>
      <c r="BZ26" s="9">
        <v>0.90537613149999996</v>
      </c>
      <c r="CA26" s="9"/>
      <c r="CB26" s="9">
        <v>0.90537613149999996</v>
      </c>
      <c r="CC26" s="9"/>
      <c r="CD26" s="9">
        <v>0.90537613149999996</v>
      </c>
      <c r="CE26" s="9"/>
    </row>
    <row r="27" spans="1:83" x14ac:dyDescent="0.25">
      <c r="A27" s="9"/>
      <c r="B27" s="9"/>
      <c r="C27" s="9" t="s">
        <v>61</v>
      </c>
      <c r="D27" s="9">
        <v>53.875</v>
      </c>
      <c r="E27" s="9"/>
      <c r="F27" s="9"/>
      <c r="G27" s="9"/>
      <c r="H27" s="9">
        <v>11.863636359999999</v>
      </c>
      <c r="I27" s="9">
        <v>6</v>
      </c>
      <c r="J27" s="9">
        <v>39.176470590000001</v>
      </c>
      <c r="K27" s="9"/>
      <c r="L27" s="9">
        <v>41.179701489999999</v>
      </c>
      <c r="M27" s="9"/>
      <c r="N27" s="9"/>
      <c r="O27" s="9"/>
      <c r="P27" s="9">
        <v>40.190869569999997</v>
      </c>
      <c r="Q27" s="9"/>
      <c r="R27" s="9">
        <v>51.48</v>
      </c>
      <c r="S27" s="9"/>
      <c r="T27" s="9"/>
      <c r="U27" s="9"/>
      <c r="V27" s="9">
        <v>39.91034483</v>
      </c>
      <c r="W27" s="9"/>
      <c r="X27" s="9"/>
      <c r="Y27" s="9"/>
      <c r="Z27" s="9">
        <v>37.799999999999997</v>
      </c>
      <c r="AA27" s="9"/>
      <c r="AB27" s="9">
        <v>22.007547169999999</v>
      </c>
      <c r="AC27" s="9"/>
      <c r="AD27" s="9">
        <v>32.64</v>
      </c>
      <c r="AE27" s="9"/>
      <c r="AF27" s="9">
        <v>44.443421049999998</v>
      </c>
      <c r="AG27" s="9"/>
      <c r="AH27" s="9"/>
      <c r="AI27" s="9"/>
      <c r="AJ27" s="9">
        <v>44.357142860000003</v>
      </c>
      <c r="AK27" s="9"/>
      <c r="AL27" s="9"/>
      <c r="AM27" s="9"/>
      <c r="AN27" s="9"/>
      <c r="AO27" s="9"/>
      <c r="AP27" s="9">
        <v>22.266666669999999</v>
      </c>
      <c r="AQ27" s="9">
        <v>6.923076923</v>
      </c>
      <c r="AR27" s="9">
        <v>35.169230769999999</v>
      </c>
      <c r="AS27" s="9"/>
      <c r="AT27" s="9">
        <v>35.169230769999999</v>
      </c>
      <c r="AU27" s="9"/>
      <c r="AV27" s="9">
        <v>35.169230769999999</v>
      </c>
      <c r="AW27" s="9"/>
      <c r="AX27" s="9">
        <v>35.169230769999999</v>
      </c>
      <c r="AY27" s="9"/>
      <c r="AZ27" s="9">
        <v>35.169230769999999</v>
      </c>
      <c r="BA27" s="9"/>
      <c r="BB27" s="9">
        <v>35.169230769999999</v>
      </c>
      <c r="BC27" s="9"/>
      <c r="BD27" s="9">
        <v>35.169230769999999</v>
      </c>
      <c r="BE27" s="9"/>
      <c r="BF27" s="9">
        <v>35.169230769999999</v>
      </c>
      <c r="BG27" s="9"/>
      <c r="BH27" s="9">
        <v>35.169230769999999</v>
      </c>
      <c r="BI27" s="9"/>
      <c r="BJ27" s="9">
        <v>35.169230769999999</v>
      </c>
      <c r="BK27" s="9"/>
      <c r="BL27" s="9">
        <v>35.169230769999999</v>
      </c>
      <c r="BM27" s="9"/>
      <c r="BN27" s="9">
        <v>35.169230769999999</v>
      </c>
      <c r="BO27" s="9"/>
      <c r="BP27" s="9">
        <v>35.169230769999999</v>
      </c>
      <c r="BQ27" s="9"/>
      <c r="BR27" s="9">
        <v>35.169230769999999</v>
      </c>
      <c r="BS27" s="9"/>
      <c r="BT27" s="9">
        <v>35.169230769999999</v>
      </c>
      <c r="BU27" s="9"/>
      <c r="BV27" s="9">
        <v>35.169230769999999</v>
      </c>
      <c r="BW27" s="9"/>
      <c r="BX27" s="9">
        <v>35.169230769999999</v>
      </c>
      <c r="BY27" s="9"/>
      <c r="BZ27" s="9">
        <v>35.169230769999999</v>
      </c>
      <c r="CA27" s="9"/>
      <c r="CB27" s="9">
        <v>35.169230769999999</v>
      </c>
      <c r="CC27" s="9"/>
      <c r="CD27" s="9">
        <v>35.169230769999999</v>
      </c>
      <c r="CE27" s="9"/>
    </row>
    <row r="31" spans="1:83" ht="42" x14ac:dyDescent="0.25">
      <c r="B31" s="1" t="s">
        <v>32</v>
      </c>
      <c r="C31" s="2" t="s">
        <v>10</v>
      </c>
      <c r="D31" s="3">
        <f>IFERROR(ROUND((D6+D7-D8)/D20/35,2),"-")</f>
        <v>1.68</v>
      </c>
      <c r="E31" s="3" t="str">
        <f>IFERROR(ROUND((E6+E7-E8)/E20/35,2),"-")</f>
        <v>-</v>
      </c>
      <c r="F31" s="3" t="str">
        <f t="shared" ref="F31:AI31" si="0">IFERROR(ROUND((F6+F7-F8)/F20/35,2),"-")</f>
        <v>-</v>
      </c>
      <c r="G31" s="3">
        <f t="shared" si="0"/>
        <v>1.76</v>
      </c>
      <c r="H31" s="3">
        <f t="shared" si="0"/>
        <v>1.29</v>
      </c>
      <c r="I31" s="3">
        <f t="shared" si="0"/>
        <v>3.25</v>
      </c>
      <c r="J31" s="3" t="str">
        <f t="shared" si="0"/>
        <v>-</v>
      </c>
      <c r="K31" s="3">
        <f t="shared" si="0"/>
        <v>5.34</v>
      </c>
      <c r="L31" s="3">
        <f>IFERROR(ROUND((L6+L7-L8)/L20/35,2),"-")</f>
        <v>3.8</v>
      </c>
      <c r="M31" s="3" t="str">
        <f>IFERROR(ROUND((M6+M7-M8)/M20/35,2),"-")</f>
        <v>-</v>
      </c>
      <c r="N31" s="3">
        <f t="shared" si="0"/>
        <v>0.9</v>
      </c>
      <c r="O31" s="3" t="str">
        <f t="shared" si="0"/>
        <v>-</v>
      </c>
      <c r="P31" s="3" t="str">
        <f t="shared" si="0"/>
        <v>-</v>
      </c>
      <c r="Q31" s="3" t="str">
        <f t="shared" si="0"/>
        <v>-</v>
      </c>
      <c r="R31" s="3" t="str">
        <f t="shared" si="0"/>
        <v>-</v>
      </c>
      <c r="S31" s="3">
        <f t="shared" si="0"/>
        <v>1.45</v>
      </c>
      <c r="T31" s="3" t="str">
        <f t="shared" si="0"/>
        <v>-</v>
      </c>
      <c r="U31" s="3">
        <f t="shared" si="0"/>
        <v>13.31</v>
      </c>
      <c r="V31" s="3" t="str">
        <f t="shared" si="0"/>
        <v>-</v>
      </c>
      <c r="W31" s="3">
        <f t="shared" si="0"/>
        <v>1.2</v>
      </c>
      <c r="X31" s="3">
        <f t="shared" si="0"/>
        <v>1.06</v>
      </c>
      <c r="Y31" s="3" t="str">
        <f t="shared" si="0"/>
        <v>-</v>
      </c>
      <c r="Z31" s="3">
        <f t="shared" si="0"/>
        <v>1.17</v>
      </c>
      <c r="AA31" s="3">
        <f t="shared" si="0"/>
        <v>6.13</v>
      </c>
      <c r="AB31" s="3">
        <f t="shared" si="0"/>
        <v>1.4</v>
      </c>
      <c r="AC31" s="3" t="str">
        <f t="shared" si="0"/>
        <v>-</v>
      </c>
      <c r="AD31" s="3" t="str">
        <f t="shared" si="0"/>
        <v>-</v>
      </c>
      <c r="AE31" s="3">
        <f t="shared" si="0"/>
        <v>0.76</v>
      </c>
      <c r="AF31" s="3" t="str">
        <f t="shared" si="0"/>
        <v>-</v>
      </c>
      <c r="AG31" s="3">
        <f t="shared" si="0"/>
        <v>0.41</v>
      </c>
      <c r="AH31" s="3" t="str">
        <f t="shared" si="0"/>
        <v>-</v>
      </c>
      <c r="AI31" s="3">
        <f t="shared" si="0"/>
        <v>2.06</v>
      </c>
      <c r="AJ31" s="3" t="str">
        <f t="shared" ref="AJ31:BC31" si="1">IFERROR(ROUND((AJ6+AJ7-AJ8)/AJ20/35,2),"-")</f>
        <v>-</v>
      </c>
      <c r="AK31" s="3">
        <f t="shared" si="1"/>
        <v>1.56</v>
      </c>
      <c r="AL31" s="3" t="str">
        <f t="shared" si="1"/>
        <v>-</v>
      </c>
      <c r="AM31" s="3">
        <f t="shared" si="1"/>
        <v>0.57999999999999996</v>
      </c>
      <c r="AN31" s="3">
        <f t="shared" si="1"/>
        <v>2.86</v>
      </c>
      <c r="AO31" s="3" t="str">
        <f t="shared" si="1"/>
        <v>-</v>
      </c>
      <c r="AP31" s="3">
        <f t="shared" si="1"/>
        <v>15.8</v>
      </c>
      <c r="AQ31" s="3" t="str">
        <f t="shared" si="1"/>
        <v>-</v>
      </c>
      <c r="AR31" s="3" t="str">
        <f t="shared" si="1"/>
        <v>-</v>
      </c>
      <c r="AS31" s="3">
        <f t="shared" si="1"/>
        <v>2.13</v>
      </c>
      <c r="AT31" s="3" t="str">
        <f t="shared" si="1"/>
        <v>-</v>
      </c>
      <c r="AU31" s="3">
        <f t="shared" si="1"/>
        <v>1.44</v>
      </c>
      <c r="AV31" s="3" t="str">
        <f t="shared" si="1"/>
        <v>-</v>
      </c>
      <c r="AW31" s="3">
        <f t="shared" si="1"/>
        <v>3.01</v>
      </c>
      <c r="AX31" s="3" t="str">
        <f t="shared" si="1"/>
        <v>-</v>
      </c>
      <c r="AY31" s="3">
        <f t="shared" si="1"/>
        <v>7.44</v>
      </c>
      <c r="AZ31" s="3" t="str">
        <f t="shared" si="1"/>
        <v>-</v>
      </c>
      <c r="BA31" s="3">
        <f t="shared" si="1"/>
        <v>1.74</v>
      </c>
      <c r="BB31" s="3">
        <f t="shared" si="1"/>
        <v>1.43</v>
      </c>
      <c r="BC31" s="3" t="str">
        <f t="shared" si="1"/>
        <v>-</v>
      </c>
      <c r="BD31" s="3">
        <f t="shared" ref="BD31:CE31" si="2">IFERROR(ROUND((BD6+BD7-BD8)/BD20/35,2),"-")</f>
        <v>1.43</v>
      </c>
      <c r="BE31" s="3" t="str">
        <f t="shared" si="2"/>
        <v>-</v>
      </c>
      <c r="BF31" s="3" t="str">
        <f t="shared" si="2"/>
        <v>-</v>
      </c>
      <c r="BG31" s="3">
        <f t="shared" si="2"/>
        <v>1.61</v>
      </c>
      <c r="BH31" s="3">
        <f t="shared" si="2"/>
        <v>1.29</v>
      </c>
      <c r="BI31" s="3" t="str">
        <f t="shared" si="2"/>
        <v>-</v>
      </c>
      <c r="BJ31" s="3" t="str">
        <f t="shared" si="2"/>
        <v>-</v>
      </c>
      <c r="BK31" s="3">
        <f t="shared" si="2"/>
        <v>0.37</v>
      </c>
      <c r="BL31" s="3" t="str">
        <f t="shared" si="2"/>
        <v>-</v>
      </c>
      <c r="BM31" s="3">
        <f t="shared" si="2"/>
        <v>14.7</v>
      </c>
      <c r="BN31" s="3" t="str">
        <f t="shared" si="2"/>
        <v>-</v>
      </c>
      <c r="BO31" s="3">
        <f t="shared" si="2"/>
        <v>1.76</v>
      </c>
      <c r="BP31" s="3" t="str">
        <f t="shared" si="2"/>
        <v>-</v>
      </c>
      <c r="BQ31" s="3">
        <f t="shared" si="2"/>
        <v>0.42</v>
      </c>
      <c r="BR31" s="3" t="str">
        <f t="shared" si="2"/>
        <v>-</v>
      </c>
      <c r="BS31" s="3">
        <f t="shared" si="2"/>
        <v>1.25</v>
      </c>
      <c r="BT31" s="3" t="str">
        <f t="shared" si="2"/>
        <v>-</v>
      </c>
      <c r="BU31" s="3">
        <f t="shared" si="2"/>
        <v>1.1100000000000001</v>
      </c>
      <c r="BV31" s="3" t="str">
        <f t="shared" si="2"/>
        <v>-</v>
      </c>
      <c r="BW31" s="3">
        <f t="shared" si="2"/>
        <v>2.54</v>
      </c>
      <c r="BX31" s="3" t="str">
        <f t="shared" si="2"/>
        <v>-</v>
      </c>
      <c r="BY31" s="3">
        <f t="shared" si="2"/>
        <v>1.77</v>
      </c>
      <c r="BZ31" s="3">
        <f t="shared" si="2"/>
        <v>2.0499999999999998</v>
      </c>
      <c r="CA31" s="3" t="str">
        <f t="shared" si="2"/>
        <v>-</v>
      </c>
      <c r="CB31" s="3" t="str">
        <f t="shared" si="2"/>
        <v>-</v>
      </c>
      <c r="CC31" s="3" t="str">
        <f t="shared" si="2"/>
        <v>-</v>
      </c>
      <c r="CD31" s="3" t="str">
        <f t="shared" si="2"/>
        <v>-</v>
      </c>
      <c r="CE31" s="3" t="str">
        <f t="shared" si="2"/>
        <v>-</v>
      </c>
    </row>
    <row r="32" spans="1:83" ht="42" x14ac:dyDescent="0.25">
      <c r="B32" s="1" t="s">
        <v>33</v>
      </c>
      <c r="C32" s="2" t="s">
        <v>10</v>
      </c>
      <c r="D32" s="3">
        <f>IFERROR(ROUND((D6+D7)/D20/35,2),"-")</f>
        <v>2.1</v>
      </c>
      <c r="E32" s="3" t="str">
        <f>IFERROR(ROUND((E6+E7)/E20/35,2),"-")</f>
        <v>-</v>
      </c>
      <c r="F32" s="3" t="str">
        <f t="shared" ref="F32:AI32" si="3">IFERROR(ROUND((F6+F7)/F20/35,2),"-")</f>
        <v>-</v>
      </c>
      <c r="G32" s="3">
        <f t="shared" si="3"/>
        <v>2.2599999999999998</v>
      </c>
      <c r="H32" s="3">
        <f t="shared" si="3"/>
        <v>1.57</v>
      </c>
      <c r="I32" s="3">
        <f t="shared" si="3"/>
        <v>3.61</v>
      </c>
      <c r="J32" s="3" t="str">
        <f t="shared" si="3"/>
        <v>-</v>
      </c>
      <c r="K32" s="3">
        <f t="shared" si="3"/>
        <v>7.29</v>
      </c>
      <c r="L32" s="3">
        <f>IFERROR(ROUND((L6+L7)/L20/35,2),"-")</f>
        <v>4.16</v>
      </c>
      <c r="M32" s="3" t="str">
        <f>IFERROR(ROUND((M6+M7)/M20/35,2),"-")</f>
        <v>-</v>
      </c>
      <c r="N32" s="3">
        <f t="shared" si="3"/>
        <v>1.32</v>
      </c>
      <c r="O32" s="3" t="str">
        <f t="shared" si="3"/>
        <v>-</v>
      </c>
      <c r="P32" s="3" t="str">
        <f t="shared" si="3"/>
        <v>-</v>
      </c>
      <c r="Q32" s="3" t="str">
        <f t="shared" si="3"/>
        <v>-</v>
      </c>
      <c r="R32" s="3" t="str">
        <f t="shared" si="3"/>
        <v>-</v>
      </c>
      <c r="S32" s="3">
        <f t="shared" si="3"/>
        <v>2.42</v>
      </c>
      <c r="T32" s="3" t="str">
        <f t="shared" si="3"/>
        <v>-</v>
      </c>
      <c r="U32" s="3">
        <f t="shared" si="3"/>
        <v>15.18</v>
      </c>
      <c r="V32" s="3" t="str">
        <f t="shared" si="3"/>
        <v>-</v>
      </c>
      <c r="W32" s="3">
        <f t="shared" si="3"/>
        <v>1.75</v>
      </c>
      <c r="X32" s="3">
        <f t="shared" si="3"/>
        <v>1.27</v>
      </c>
      <c r="Y32" s="3" t="str">
        <f t="shared" si="3"/>
        <v>-</v>
      </c>
      <c r="Z32" s="3">
        <f t="shared" si="3"/>
        <v>1.67</v>
      </c>
      <c r="AA32" s="3">
        <f t="shared" si="3"/>
        <v>7.44</v>
      </c>
      <c r="AB32" s="3">
        <f t="shared" si="3"/>
        <v>1.9</v>
      </c>
      <c r="AC32" s="3" t="str">
        <f t="shared" si="3"/>
        <v>-</v>
      </c>
      <c r="AD32" s="3" t="str">
        <f t="shared" si="3"/>
        <v>-</v>
      </c>
      <c r="AE32" s="3">
        <f t="shared" si="3"/>
        <v>1.17</v>
      </c>
      <c r="AF32" s="3" t="str">
        <f t="shared" si="3"/>
        <v>-</v>
      </c>
      <c r="AG32" s="3">
        <f t="shared" si="3"/>
        <v>0.66</v>
      </c>
      <c r="AH32" s="3" t="str">
        <f t="shared" si="3"/>
        <v>-</v>
      </c>
      <c r="AI32" s="3">
        <f t="shared" si="3"/>
        <v>2.59</v>
      </c>
      <c r="AJ32" s="3" t="str">
        <f t="shared" ref="AJ32:BC32" si="4">IFERROR(ROUND((AJ6+AJ7)/AJ20/35,2),"-")</f>
        <v>-</v>
      </c>
      <c r="AK32" s="3">
        <f t="shared" si="4"/>
        <v>2.62</v>
      </c>
      <c r="AL32" s="3" t="str">
        <f t="shared" si="4"/>
        <v>-</v>
      </c>
      <c r="AM32" s="3">
        <f t="shared" si="4"/>
        <v>0.98</v>
      </c>
      <c r="AN32" s="3">
        <f t="shared" si="4"/>
        <v>3.36</v>
      </c>
      <c r="AO32" s="3" t="str">
        <f t="shared" si="4"/>
        <v>-</v>
      </c>
      <c r="AP32" s="3">
        <f t="shared" si="4"/>
        <v>15.99</v>
      </c>
      <c r="AQ32" s="3" t="str">
        <f t="shared" si="4"/>
        <v>-</v>
      </c>
      <c r="AR32" s="3" t="str">
        <f t="shared" si="4"/>
        <v>-</v>
      </c>
      <c r="AS32" s="3">
        <f t="shared" si="4"/>
        <v>2.44</v>
      </c>
      <c r="AT32" s="3" t="str">
        <f t="shared" si="4"/>
        <v>-</v>
      </c>
      <c r="AU32" s="3">
        <f t="shared" si="4"/>
        <v>1.57</v>
      </c>
      <c r="AV32" s="3" t="str">
        <f t="shared" si="4"/>
        <v>-</v>
      </c>
      <c r="AW32" s="3">
        <f t="shared" si="4"/>
        <v>3.71</v>
      </c>
      <c r="AX32" s="3" t="str">
        <f t="shared" si="4"/>
        <v>-</v>
      </c>
      <c r="AY32" s="3">
        <f t="shared" si="4"/>
        <v>11.84</v>
      </c>
      <c r="AZ32" s="3" t="str">
        <f t="shared" si="4"/>
        <v>-</v>
      </c>
      <c r="BA32" s="3">
        <f t="shared" si="4"/>
        <v>2.2400000000000002</v>
      </c>
      <c r="BB32" s="3">
        <f t="shared" si="4"/>
        <v>2.17</v>
      </c>
      <c r="BC32" s="3" t="str">
        <f t="shared" si="4"/>
        <v>-</v>
      </c>
      <c r="BD32" s="3">
        <f t="shared" ref="BD32:CE32" si="5">IFERROR(ROUND((BD6+BD7)/BD20/35,2),"-")</f>
        <v>1.59</v>
      </c>
      <c r="BE32" s="3" t="str">
        <f t="shared" si="5"/>
        <v>-</v>
      </c>
      <c r="BF32" s="3" t="str">
        <f t="shared" si="5"/>
        <v>-</v>
      </c>
      <c r="BG32" s="3">
        <f t="shared" si="5"/>
        <v>2.69</v>
      </c>
      <c r="BH32" s="3">
        <f t="shared" si="5"/>
        <v>1.73</v>
      </c>
      <c r="BI32" s="3" t="str">
        <f t="shared" si="5"/>
        <v>-</v>
      </c>
      <c r="BJ32" s="3" t="str">
        <f t="shared" si="5"/>
        <v>-</v>
      </c>
      <c r="BK32" s="3">
        <f t="shared" si="5"/>
        <v>0.54</v>
      </c>
      <c r="BL32" s="3" t="str">
        <f t="shared" si="5"/>
        <v>-</v>
      </c>
      <c r="BM32" s="3">
        <f t="shared" si="5"/>
        <v>15.01</v>
      </c>
      <c r="BN32" s="3" t="str">
        <f t="shared" si="5"/>
        <v>-</v>
      </c>
      <c r="BO32" s="3">
        <f t="shared" si="5"/>
        <v>2.52</v>
      </c>
      <c r="BP32" s="3" t="str">
        <f t="shared" si="5"/>
        <v>-</v>
      </c>
      <c r="BQ32" s="3">
        <f t="shared" si="5"/>
        <v>0.91</v>
      </c>
      <c r="BR32" s="3" t="str">
        <f t="shared" si="5"/>
        <v>-</v>
      </c>
      <c r="BS32" s="3">
        <f t="shared" si="5"/>
        <v>1.53</v>
      </c>
      <c r="BT32" s="3" t="str">
        <f t="shared" si="5"/>
        <v>-</v>
      </c>
      <c r="BU32" s="3">
        <f t="shared" si="5"/>
        <v>1.1599999999999999</v>
      </c>
      <c r="BV32" s="3" t="str">
        <f t="shared" si="5"/>
        <v>-</v>
      </c>
      <c r="BW32" s="3">
        <f t="shared" si="5"/>
        <v>3.07</v>
      </c>
      <c r="BX32" s="3" t="str">
        <f t="shared" si="5"/>
        <v>-</v>
      </c>
      <c r="BY32" s="3">
        <f t="shared" si="5"/>
        <v>2.21</v>
      </c>
      <c r="BZ32" s="3">
        <f t="shared" si="5"/>
        <v>2.54</v>
      </c>
      <c r="CA32" s="3" t="str">
        <f t="shared" si="5"/>
        <v>-</v>
      </c>
      <c r="CB32" s="3" t="str">
        <f t="shared" si="5"/>
        <v>-</v>
      </c>
      <c r="CC32" s="3" t="str">
        <f t="shared" si="5"/>
        <v>-</v>
      </c>
      <c r="CD32" s="3" t="str">
        <f t="shared" si="5"/>
        <v>-</v>
      </c>
      <c r="CE32" s="3" t="str">
        <f t="shared" si="5"/>
        <v>-</v>
      </c>
    </row>
    <row r="33" spans="2:83" ht="30" x14ac:dyDescent="0.25">
      <c r="B33" s="1" t="s">
        <v>7</v>
      </c>
      <c r="C33" s="2" t="s">
        <v>11</v>
      </c>
      <c r="D33" s="17">
        <f>IF(D9=0,"-",D9)</f>
        <v>10</v>
      </c>
      <c r="E33" s="17" t="str">
        <f>IF(E9=0,"-",E9)</f>
        <v>-</v>
      </c>
      <c r="F33" s="17" t="str">
        <f t="shared" ref="F33:G33" si="6">IF(F9=0,"-",F9)</f>
        <v>-</v>
      </c>
      <c r="G33" s="17">
        <f t="shared" si="6"/>
        <v>9.5</v>
      </c>
      <c r="H33" s="17">
        <f t="shared" ref="H33:BC33" si="7">IF(H9=0,"-",H9)</f>
        <v>2.6</v>
      </c>
      <c r="I33" s="17">
        <f t="shared" si="7"/>
        <v>2.6</v>
      </c>
      <c r="J33" s="17" t="str">
        <f t="shared" si="7"/>
        <v>-</v>
      </c>
      <c r="K33" s="17">
        <f t="shared" si="7"/>
        <v>4.2</v>
      </c>
      <c r="L33" s="17">
        <f>IF(L9=0,"-",L9)</f>
        <v>3.02</v>
      </c>
      <c r="M33" s="17" t="str">
        <f>IF(M9=0,"-",M9)</f>
        <v>-</v>
      </c>
      <c r="N33" s="17">
        <f t="shared" si="7"/>
        <v>2</v>
      </c>
      <c r="O33" s="17" t="str">
        <f t="shared" si="7"/>
        <v>-</v>
      </c>
      <c r="P33" s="17" t="str">
        <f t="shared" si="7"/>
        <v>-</v>
      </c>
      <c r="Q33" s="17">
        <f t="shared" si="7"/>
        <v>10.4</v>
      </c>
      <c r="R33" s="17" t="str">
        <f t="shared" si="7"/>
        <v>-</v>
      </c>
      <c r="S33" s="17">
        <f t="shared" si="7"/>
        <v>7.2</v>
      </c>
      <c r="T33" s="17" t="str">
        <f t="shared" si="7"/>
        <v>-</v>
      </c>
      <c r="U33" s="17">
        <f t="shared" si="7"/>
        <v>3</v>
      </c>
      <c r="V33" s="17" t="str">
        <f t="shared" si="7"/>
        <v>-</v>
      </c>
      <c r="W33" s="17">
        <f t="shared" si="7"/>
        <v>6</v>
      </c>
      <c r="X33" s="17">
        <f t="shared" si="7"/>
        <v>2.5</v>
      </c>
      <c r="Y33" s="17" t="str">
        <f t="shared" si="7"/>
        <v>-</v>
      </c>
      <c r="Z33" s="17">
        <f t="shared" si="7"/>
        <v>10.7</v>
      </c>
      <c r="AA33" s="17">
        <f t="shared" si="7"/>
        <v>1.6</v>
      </c>
      <c r="AB33" s="17">
        <f t="shared" si="7"/>
        <v>5</v>
      </c>
      <c r="AC33" s="17" t="str">
        <f t="shared" si="7"/>
        <v>-</v>
      </c>
      <c r="AD33" s="17" t="str">
        <f t="shared" si="7"/>
        <v>-</v>
      </c>
      <c r="AE33" s="17">
        <f t="shared" si="7"/>
        <v>4.0999999999999996</v>
      </c>
      <c r="AF33" s="17" t="str">
        <f t="shared" si="7"/>
        <v>-</v>
      </c>
      <c r="AG33" s="17">
        <f t="shared" si="7"/>
        <v>6</v>
      </c>
      <c r="AH33" s="17" t="str">
        <f t="shared" si="7"/>
        <v>-</v>
      </c>
      <c r="AI33" s="17">
        <f t="shared" si="7"/>
        <v>10</v>
      </c>
      <c r="AJ33" s="17" t="str">
        <f t="shared" si="7"/>
        <v>-</v>
      </c>
      <c r="AK33" s="17">
        <f t="shared" si="7"/>
        <v>2.6</v>
      </c>
      <c r="AL33" s="17" t="str">
        <f t="shared" si="7"/>
        <v>-</v>
      </c>
      <c r="AM33" s="17">
        <f t="shared" si="7"/>
        <v>10</v>
      </c>
      <c r="AN33" s="17">
        <f t="shared" si="7"/>
        <v>6</v>
      </c>
      <c r="AO33" s="17" t="str">
        <f t="shared" si="7"/>
        <v>-</v>
      </c>
      <c r="AP33" s="17">
        <f t="shared" si="7"/>
        <v>6</v>
      </c>
      <c r="AQ33" s="17" t="str">
        <f t="shared" si="7"/>
        <v>-</v>
      </c>
      <c r="AR33" s="17" t="str">
        <f t="shared" si="7"/>
        <v>-</v>
      </c>
      <c r="AS33" s="17">
        <f t="shared" si="7"/>
        <v>7.4</v>
      </c>
      <c r="AT33" s="17" t="str">
        <f t="shared" si="7"/>
        <v>-</v>
      </c>
      <c r="AU33" s="17">
        <f t="shared" si="7"/>
        <v>8</v>
      </c>
      <c r="AV33" s="17" t="str">
        <f t="shared" si="7"/>
        <v>-</v>
      </c>
      <c r="AW33" s="17">
        <f t="shared" si="7"/>
        <v>5</v>
      </c>
      <c r="AX33" s="17" t="str">
        <f t="shared" si="7"/>
        <v>-</v>
      </c>
      <c r="AY33" s="17">
        <f t="shared" si="7"/>
        <v>3</v>
      </c>
      <c r="AZ33" s="17" t="str">
        <f t="shared" si="7"/>
        <v>-</v>
      </c>
      <c r="BA33" s="17">
        <f t="shared" si="7"/>
        <v>7.2</v>
      </c>
      <c r="BB33" s="17">
        <f t="shared" si="7"/>
        <v>6.5</v>
      </c>
      <c r="BC33" s="17" t="str">
        <f t="shared" si="7"/>
        <v>-</v>
      </c>
      <c r="BD33" s="17">
        <f t="shared" ref="BD33:CE33" si="8">IF(BD9=0,"-",BD9)</f>
        <v>5.8</v>
      </c>
      <c r="BE33" s="17" t="str">
        <f t="shared" si="8"/>
        <v>-</v>
      </c>
      <c r="BF33" s="17" t="str">
        <f t="shared" si="8"/>
        <v>-</v>
      </c>
      <c r="BG33" s="17">
        <f t="shared" si="8"/>
        <v>7.5</v>
      </c>
      <c r="BH33" s="17">
        <f t="shared" si="8"/>
        <v>8</v>
      </c>
      <c r="BI33" s="17" t="str">
        <f t="shared" si="8"/>
        <v>-</v>
      </c>
      <c r="BJ33" s="17" t="str">
        <f t="shared" si="8"/>
        <v>-</v>
      </c>
      <c r="BK33" s="17">
        <f t="shared" si="8"/>
        <v>2.1</v>
      </c>
      <c r="BL33" s="17" t="str">
        <f t="shared" si="8"/>
        <v>-</v>
      </c>
      <c r="BM33" s="17">
        <f t="shared" si="8"/>
        <v>4.3</v>
      </c>
      <c r="BN33" s="17" t="str">
        <f t="shared" si="8"/>
        <v>-</v>
      </c>
      <c r="BO33" s="17">
        <f t="shared" si="8"/>
        <v>15.7</v>
      </c>
      <c r="BP33" s="17" t="str">
        <f t="shared" si="8"/>
        <v>-</v>
      </c>
      <c r="BQ33" s="17">
        <f t="shared" si="8"/>
        <v>4.9000000000000004</v>
      </c>
      <c r="BR33" s="17" t="str">
        <f t="shared" si="8"/>
        <v>-</v>
      </c>
      <c r="BS33" s="17">
        <f t="shared" si="8"/>
        <v>1.3</v>
      </c>
      <c r="BT33" s="17" t="str">
        <f t="shared" si="8"/>
        <v>-</v>
      </c>
      <c r="BU33" s="17">
        <f t="shared" si="8"/>
        <v>8</v>
      </c>
      <c r="BV33" s="17" t="str">
        <f t="shared" si="8"/>
        <v>-</v>
      </c>
      <c r="BW33" s="17">
        <f t="shared" si="8"/>
        <v>5</v>
      </c>
      <c r="BX33" s="17" t="str">
        <f t="shared" si="8"/>
        <v>-</v>
      </c>
      <c r="BY33" s="17">
        <f t="shared" si="8"/>
        <v>10.8</v>
      </c>
      <c r="BZ33" s="17">
        <f t="shared" si="8"/>
        <v>12.9</v>
      </c>
      <c r="CA33" s="17" t="str">
        <f t="shared" si="8"/>
        <v>-</v>
      </c>
      <c r="CB33" s="17" t="str">
        <f t="shared" si="8"/>
        <v>-</v>
      </c>
      <c r="CC33" s="17" t="str">
        <f t="shared" si="8"/>
        <v>-</v>
      </c>
      <c r="CD33" s="17" t="str">
        <f t="shared" si="8"/>
        <v>-</v>
      </c>
      <c r="CE33" s="17" t="str">
        <f t="shared" si="8"/>
        <v>-</v>
      </c>
    </row>
    <row r="34" spans="2:83" ht="60" x14ac:dyDescent="0.25">
      <c r="B34" s="1" t="s">
        <v>8</v>
      </c>
      <c r="C34" s="2" t="s">
        <v>11</v>
      </c>
      <c r="D34" s="17">
        <f>IF(D10=0,"-",D10)</f>
        <v>4.7</v>
      </c>
      <c r="E34" s="17" t="str">
        <f>IF(E10=0,"-",E10)</f>
        <v>-</v>
      </c>
      <c r="F34" s="17" t="str">
        <f t="shared" ref="F34:G34" si="9">IF(F10=0,"-",F10)</f>
        <v>-</v>
      </c>
      <c r="G34" s="17">
        <f t="shared" si="9"/>
        <v>3.5</v>
      </c>
      <c r="H34" s="17">
        <f t="shared" ref="H34:BC34" si="10">IF(H10=0,"-",H10)</f>
        <v>0.9</v>
      </c>
      <c r="I34" s="17">
        <f t="shared" si="10"/>
        <v>0.9</v>
      </c>
      <c r="J34" s="17" t="str">
        <f t="shared" si="10"/>
        <v>-</v>
      </c>
      <c r="K34" s="17">
        <f t="shared" si="10"/>
        <v>2.2999999999999998</v>
      </c>
      <c r="L34" s="17">
        <f>IF(L10=0,"-",L10)</f>
        <v>2</v>
      </c>
      <c r="M34" s="17" t="str">
        <f>IF(M10=0,"-",M10)</f>
        <v>-</v>
      </c>
      <c r="N34" s="17">
        <f t="shared" si="10"/>
        <v>1.1000000000000001</v>
      </c>
      <c r="O34" s="17" t="str">
        <f t="shared" si="10"/>
        <v>-</v>
      </c>
      <c r="P34" s="17" t="str">
        <f t="shared" si="10"/>
        <v>-</v>
      </c>
      <c r="Q34" s="17">
        <f t="shared" si="10"/>
        <v>3.9</v>
      </c>
      <c r="R34" s="17" t="str">
        <f t="shared" si="10"/>
        <v>-</v>
      </c>
      <c r="S34" s="17">
        <f t="shared" si="10"/>
        <v>3.6</v>
      </c>
      <c r="T34" s="17" t="str">
        <f t="shared" si="10"/>
        <v>-</v>
      </c>
      <c r="U34" s="17">
        <f t="shared" si="10"/>
        <v>4</v>
      </c>
      <c r="V34" s="17" t="str">
        <f t="shared" si="10"/>
        <v>-</v>
      </c>
      <c r="W34" s="17">
        <f t="shared" si="10"/>
        <v>4</v>
      </c>
      <c r="X34" s="17">
        <f t="shared" si="10"/>
        <v>1.34</v>
      </c>
      <c r="Y34" s="17" t="str">
        <f t="shared" si="10"/>
        <v>-</v>
      </c>
      <c r="Z34" s="17">
        <f t="shared" si="10"/>
        <v>2.4</v>
      </c>
      <c r="AA34" s="17">
        <f t="shared" si="10"/>
        <v>2.4</v>
      </c>
      <c r="AB34" s="17">
        <f t="shared" si="10"/>
        <v>7.62</v>
      </c>
      <c r="AC34" s="17" t="str">
        <f t="shared" si="10"/>
        <v>-</v>
      </c>
      <c r="AD34" s="17" t="str">
        <f t="shared" si="10"/>
        <v>-</v>
      </c>
      <c r="AE34" s="17">
        <f t="shared" si="10"/>
        <v>3</v>
      </c>
      <c r="AF34" s="17" t="str">
        <f t="shared" si="10"/>
        <v>-</v>
      </c>
      <c r="AG34" s="17">
        <f t="shared" si="10"/>
        <v>2.2000000000000002</v>
      </c>
      <c r="AH34" s="17" t="str">
        <f t="shared" si="10"/>
        <v>-</v>
      </c>
      <c r="AI34" s="17">
        <f t="shared" si="10"/>
        <v>2.66</v>
      </c>
      <c r="AJ34" s="17" t="str">
        <f t="shared" si="10"/>
        <v>-</v>
      </c>
      <c r="AK34" s="17">
        <f t="shared" si="10"/>
        <v>2</v>
      </c>
      <c r="AL34" s="17" t="str">
        <f t="shared" si="10"/>
        <v>-</v>
      </c>
      <c r="AM34" s="17">
        <f t="shared" si="10"/>
        <v>1</v>
      </c>
      <c r="AN34" s="17">
        <f t="shared" si="10"/>
        <v>6.5</v>
      </c>
      <c r="AO34" s="17" t="str">
        <f t="shared" si="10"/>
        <v>-</v>
      </c>
      <c r="AP34" s="17">
        <f t="shared" si="10"/>
        <v>2</v>
      </c>
      <c r="AQ34" s="17" t="str">
        <f t="shared" si="10"/>
        <v>-</v>
      </c>
      <c r="AR34" s="17" t="str">
        <f t="shared" si="10"/>
        <v>-</v>
      </c>
      <c r="AS34" s="17">
        <f t="shared" si="10"/>
        <v>2.65</v>
      </c>
      <c r="AT34" s="17" t="str">
        <f t="shared" si="10"/>
        <v>-</v>
      </c>
      <c r="AU34" s="17" t="str">
        <f t="shared" si="10"/>
        <v>1,4</v>
      </c>
      <c r="AV34" s="17" t="str">
        <f t="shared" si="10"/>
        <v>-</v>
      </c>
      <c r="AW34" s="17">
        <f t="shared" si="10"/>
        <v>3</v>
      </c>
      <c r="AX34" s="17" t="str">
        <f t="shared" si="10"/>
        <v>-</v>
      </c>
      <c r="AY34" s="17">
        <f t="shared" si="10"/>
        <v>1.5</v>
      </c>
      <c r="AZ34" s="17" t="str">
        <f t="shared" si="10"/>
        <v>-</v>
      </c>
      <c r="BA34" s="17">
        <f t="shared" si="10"/>
        <v>2.7</v>
      </c>
      <c r="BB34" s="17">
        <f t="shared" si="10"/>
        <v>1.1000000000000001</v>
      </c>
      <c r="BC34" s="17" t="str">
        <f t="shared" si="10"/>
        <v>-</v>
      </c>
      <c r="BD34" s="17">
        <f t="shared" ref="BD34:CE34" si="11">IF(BD10=0,"-",BD10)</f>
        <v>3.8</v>
      </c>
      <c r="BE34" s="17" t="str">
        <f t="shared" si="11"/>
        <v>-</v>
      </c>
      <c r="BF34" s="17" t="str">
        <f t="shared" si="11"/>
        <v>-</v>
      </c>
      <c r="BG34" s="17">
        <f t="shared" si="11"/>
        <v>5.2</v>
      </c>
      <c r="BH34" s="17">
        <f t="shared" si="11"/>
        <v>2.8</v>
      </c>
      <c r="BI34" s="17" t="str">
        <f t="shared" si="11"/>
        <v>-</v>
      </c>
      <c r="BJ34" s="17" t="str">
        <f t="shared" si="11"/>
        <v>-</v>
      </c>
      <c r="BK34" s="17">
        <f t="shared" si="11"/>
        <v>0.5</v>
      </c>
      <c r="BL34" s="17" t="str">
        <f t="shared" si="11"/>
        <v>-</v>
      </c>
      <c r="BM34" s="17">
        <f t="shared" si="11"/>
        <v>4.9000000000000004</v>
      </c>
      <c r="BN34" s="17" t="str">
        <f t="shared" si="11"/>
        <v>-</v>
      </c>
      <c r="BO34" s="17">
        <f t="shared" si="11"/>
        <v>1.6</v>
      </c>
      <c r="BP34" s="17" t="str">
        <f t="shared" si="11"/>
        <v>-</v>
      </c>
      <c r="BQ34" s="17">
        <f t="shared" si="11"/>
        <v>3.25</v>
      </c>
      <c r="BR34" s="17" t="str">
        <f t="shared" si="11"/>
        <v>-</v>
      </c>
      <c r="BS34" s="17">
        <f t="shared" si="11"/>
        <v>5.3</v>
      </c>
      <c r="BT34" s="17" t="str">
        <f t="shared" si="11"/>
        <v>-</v>
      </c>
      <c r="BU34" s="17">
        <f t="shared" si="11"/>
        <v>3</v>
      </c>
      <c r="BV34" s="17" t="str">
        <f t="shared" si="11"/>
        <v>-</v>
      </c>
      <c r="BW34" s="17">
        <f t="shared" si="11"/>
        <v>4.2</v>
      </c>
      <c r="BX34" s="17" t="str">
        <f t="shared" si="11"/>
        <v>-</v>
      </c>
      <c r="BY34" s="17">
        <f t="shared" si="11"/>
        <v>2.9</v>
      </c>
      <c r="BZ34" s="17">
        <f t="shared" si="11"/>
        <v>1.5</v>
      </c>
      <c r="CA34" s="17" t="str">
        <f t="shared" si="11"/>
        <v>-</v>
      </c>
      <c r="CB34" s="17" t="str">
        <f t="shared" si="11"/>
        <v>-</v>
      </c>
      <c r="CC34" s="17" t="str">
        <f t="shared" si="11"/>
        <v>-</v>
      </c>
      <c r="CD34" s="17" t="str">
        <f t="shared" si="11"/>
        <v>-</v>
      </c>
      <c r="CE34" s="17" t="str">
        <f t="shared" si="11"/>
        <v>-</v>
      </c>
    </row>
    <row r="35" spans="2:83" ht="30" x14ac:dyDescent="0.25">
      <c r="B35" s="1" t="s">
        <v>19</v>
      </c>
      <c r="C35" s="2" t="s">
        <v>18</v>
      </c>
      <c r="D35" s="17">
        <f>IF(D12&gt;0,D12,"-")</f>
        <v>26.5</v>
      </c>
      <c r="E35" s="17" t="str">
        <f>IF(E12&gt;0,E12,"-")</f>
        <v>-</v>
      </c>
      <c r="F35" s="17" t="str">
        <f t="shared" ref="F35:G35" si="12">IF(F12&gt;0,F12,"-")</f>
        <v>-</v>
      </c>
      <c r="G35" s="17">
        <f t="shared" si="12"/>
        <v>23.91</v>
      </c>
      <c r="H35" s="17">
        <f t="shared" ref="H35:BC35" si="13">IF(H12&gt;0,H12,"-")</f>
        <v>31.8</v>
      </c>
      <c r="I35" s="17">
        <f t="shared" si="13"/>
        <v>31.8</v>
      </c>
      <c r="J35" s="17" t="str">
        <f t="shared" si="13"/>
        <v>-</v>
      </c>
      <c r="K35" s="17">
        <f t="shared" si="13"/>
        <v>23.3</v>
      </c>
      <c r="L35" s="17">
        <f>IF(L12&gt;0,L12,"-")</f>
        <v>25.3</v>
      </c>
      <c r="M35" s="17" t="str">
        <f>IF(M12&gt;0,M12,"-")</f>
        <v>-</v>
      </c>
      <c r="N35" s="17">
        <v>24.006</v>
      </c>
      <c r="O35" s="17" t="str">
        <f t="shared" si="13"/>
        <v>-</v>
      </c>
      <c r="P35" s="17" t="str">
        <f t="shared" si="13"/>
        <v>-</v>
      </c>
      <c r="Q35" s="17">
        <f t="shared" si="13"/>
        <v>25.5</v>
      </c>
      <c r="R35" s="17" t="str">
        <f t="shared" si="13"/>
        <v>-</v>
      </c>
      <c r="S35" s="17">
        <f t="shared" si="13"/>
        <v>26.5</v>
      </c>
      <c r="T35" s="17" t="str">
        <f t="shared" si="13"/>
        <v>-</v>
      </c>
      <c r="U35" s="17">
        <v>43.310400000000001</v>
      </c>
      <c r="V35" s="17" t="str">
        <f t="shared" si="13"/>
        <v>-</v>
      </c>
      <c r="W35" s="17">
        <f t="shared" si="13"/>
        <v>24.5</v>
      </c>
      <c r="X35" s="17">
        <f t="shared" si="13"/>
        <v>25.07</v>
      </c>
      <c r="Y35" s="17" t="str">
        <f t="shared" si="13"/>
        <v>-</v>
      </c>
      <c r="Z35" s="17">
        <f t="shared" si="13"/>
        <v>20.41</v>
      </c>
      <c r="AA35" s="17">
        <f t="shared" si="13"/>
        <v>20.41</v>
      </c>
      <c r="AB35" s="17">
        <f t="shared" si="13"/>
        <v>20.306000000000001</v>
      </c>
      <c r="AC35" s="17" t="str">
        <f t="shared" si="13"/>
        <v>-</v>
      </c>
      <c r="AD35" s="17" t="str">
        <f t="shared" si="13"/>
        <v>-</v>
      </c>
      <c r="AE35" s="17">
        <f t="shared" si="13"/>
        <v>21.1</v>
      </c>
      <c r="AF35" s="17" t="str">
        <f t="shared" si="13"/>
        <v>-</v>
      </c>
      <c r="AG35" s="17">
        <f t="shared" si="13"/>
        <v>22.4</v>
      </c>
      <c r="AH35" s="17" t="str">
        <f t="shared" si="13"/>
        <v>-</v>
      </c>
      <c r="AI35" s="17">
        <f t="shared" si="13"/>
        <v>20.9</v>
      </c>
      <c r="AJ35" s="17" t="str">
        <f t="shared" si="13"/>
        <v>-</v>
      </c>
      <c r="AK35" s="17">
        <f t="shared" si="13"/>
        <v>20.3</v>
      </c>
      <c r="AL35" s="17" t="str">
        <f t="shared" si="13"/>
        <v>-</v>
      </c>
      <c r="AM35" s="17">
        <f t="shared" si="13"/>
        <v>24.5</v>
      </c>
      <c r="AN35" s="17">
        <f t="shared" si="13"/>
        <v>21.515000000000001</v>
      </c>
      <c r="AO35" s="17" t="str">
        <f t="shared" si="13"/>
        <v>-</v>
      </c>
      <c r="AP35" s="17">
        <f t="shared" si="13"/>
        <v>27.594000000000001</v>
      </c>
      <c r="AQ35" s="17" t="str">
        <f t="shared" si="13"/>
        <v>-</v>
      </c>
      <c r="AR35" s="17" t="str">
        <f t="shared" si="13"/>
        <v>-</v>
      </c>
      <c r="AS35" s="17">
        <f t="shared" si="13"/>
        <v>23.913</v>
      </c>
      <c r="AT35" s="17" t="str">
        <f t="shared" si="13"/>
        <v>-</v>
      </c>
      <c r="AU35" s="17">
        <f t="shared" si="13"/>
        <v>25.128</v>
      </c>
      <c r="AV35" s="17" t="str">
        <f t="shared" si="13"/>
        <v>-</v>
      </c>
      <c r="AW35" s="17">
        <f t="shared" si="13"/>
        <v>23.7</v>
      </c>
      <c r="AX35" s="17" t="str">
        <f t="shared" si="13"/>
        <v>-</v>
      </c>
      <c r="AY35" s="17">
        <f t="shared" si="13"/>
        <v>23.084</v>
      </c>
      <c r="AZ35" s="17" t="str">
        <f t="shared" si="13"/>
        <v>-</v>
      </c>
      <c r="BA35" s="17">
        <f t="shared" si="13"/>
        <v>21.3</v>
      </c>
      <c r="BB35" s="17">
        <f t="shared" si="13"/>
        <v>23.7</v>
      </c>
      <c r="BC35" s="17" t="str">
        <f t="shared" si="13"/>
        <v>-</v>
      </c>
      <c r="BD35" s="17">
        <f t="shared" ref="BD35:CE35" si="14">IF(BD12&gt;0,BD12,"-")</f>
        <v>24.4</v>
      </c>
      <c r="BE35" s="17" t="str">
        <f t="shared" si="14"/>
        <v>-</v>
      </c>
      <c r="BF35" s="17" t="str">
        <f t="shared" si="14"/>
        <v>-</v>
      </c>
      <c r="BG35" s="17">
        <f t="shared" si="14"/>
        <v>22.9</v>
      </c>
      <c r="BH35" s="17">
        <f t="shared" si="14"/>
        <v>25.8</v>
      </c>
      <c r="BI35" s="17" t="str">
        <f t="shared" si="14"/>
        <v>-</v>
      </c>
      <c r="BJ35" s="17" t="str">
        <f t="shared" si="14"/>
        <v>-</v>
      </c>
      <c r="BK35" s="17">
        <f t="shared" si="14"/>
        <v>22.6</v>
      </c>
      <c r="BL35" s="17" t="str">
        <f t="shared" si="14"/>
        <v>-</v>
      </c>
      <c r="BM35" s="17">
        <f t="shared" si="14"/>
        <v>18.481000000000002</v>
      </c>
      <c r="BN35" s="17" t="str">
        <f t="shared" si="14"/>
        <v>-</v>
      </c>
      <c r="BO35" s="17">
        <f t="shared" si="14"/>
        <v>21.2</v>
      </c>
      <c r="BP35" s="17" t="str">
        <f t="shared" si="14"/>
        <v>-</v>
      </c>
      <c r="BQ35" s="17">
        <v>21.667000000000002</v>
      </c>
      <c r="BR35" s="17" t="str">
        <f t="shared" si="14"/>
        <v>-</v>
      </c>
      <c r="BS35" s="17">
        <f t="shared" si="14"/>
        <v>19.396000000000001</v>
      </c>
      <c r="BT35" s="17" t="str">
        <f t="shared" si="14"/>
        <v>-</v>
      </c>
      <c r="BU35" s="17">
        <f t="shared" si="14"/>
        <v>21.5</v>
      </c>
      <c r="BV35" s="17" t="str">
        <f t="shared" si="14"/>
        <v>-</v>
      </c>
      <c r="BW35" s="17">
        <f t="shared" si="14"/>
        <v>20.074999999999999</v>
      </c>
      <c r="BX35" s="17" t="str">
        <f t="shared" si="14"/>
        <v>-</v>
      </c>
      <c r="BY35" s="17">
        <f t="shared" si="14"/>
        <v>20.9</v>
      </c>
      <c r="BZ35" s="17">
        <f t="shared" si="14"/>
        <v>26.9</v>
      </c>
      <c r="CA35" s="17" t="str">
        <f t="shared" si="14"/>
        <v>-</v>
      </c>
      <c r="CB35" s="17" t="str">
        <f t="shared" si="14"/>
        <v>-</v>
      </c>
      <c r="CC35" s="17" t="str">
        <f t="shared" si="14"/>
        <v>-</v>
      </c>
      <c r="CD35" s="17" t="str">
        <f t="shared" si="14"/>
        <v>-</v>
      </c>
      <c r="CE35" s="17" t="str">
        <f t="shared" si="14"/>
        <v>-</v>
      </c>
    </row>
    <row r="36" spans="2:83" ht="30" x14ac:dyDescent="0.25">
      <c r="B36" s="1" t="s">
        <v>12</v>
      </c>
      <c r="C36" s="2" t="s">
        <v>20</v>
      </c>
      <c r="D36" s="3">
        <f>IFERROR(ROUND((D16+D17)/D16,2),"-")</f>
        <v>1.19</v>
      </c>
      <c r="E36" s="3" t="str">
        <f>IFERROR(ROUND((E16+E17)/E16,2),"-")</f>
        <v>-</v>
      </c>
      <c r="F36" s="3" t="str">
        <f t="shared" ref="F36:G36" si="15">IFERROR(ROUND((F16+F17)/F16,2),"-")</f>
        <v>-</v>
      </c>
      <c r="G36" s="3">
        <f t="shared" si="15"/>
        <v>1</v>
      </c>
      <c r="H36" s="3">
        <f t="shared" ref="H36:BC36" si="16">IFERROR(ROUND((H16+H17)/H16,2),"-")</f>
        <v>1.25</v>
      </c>
      <c r="I36" s="3">
        <f t="shared" si="16"/>
        <v>1.21</v>
      </c>
      <c r="J36" s="3" t="str">
        <f t="shared" si="16"/>
        <v>-</v>
      </c>
      <c r="K36" s="3">
        <f t="shared" si="16"/>
        <v>1.1299999999999999</v>
      </c>
      <c r="L36" s="3">
        <f>IFERROR(ROUND((L16+L17)/L16,2),"-")</f>
        <v>1.08</v>
      </c>
      <c r="M36" s="3" t="str">
        <f>IFERROR(ROUND((M16+M17)/M16,2),"-")</f>
        <v>-</v>
      </c>
      <c r="N36" s="3">
        <f t="shared" si="16"/>
        <v>1.03</v>
      </c>
      <c r="O36" s="3" t="str">
        <f t="shared" si="16"/>
        <v>-</v>
      </c>
      <c r="P36" s="3" t="str">
        <f t="shared" si="16"/>
        <v>-</v>
      </c>
      <c r="Q36" s="3">
        <f t="shared" si="16"/>
        <v>1.19</v>
      </c>
      <c r="R36" s="3" t="str">
        <f t="shared" si="16"/>
        <v>-</v>
      </c>
      <c r="S36" s="3">
        <f t="shared" si="16"/>
        <v>1.05</v>
      </c>
      <c r="T36" s="3" t="str">
        <f t="shared" si="16"/>
        <v>-</v>
      </c>
      <c r="U36" s="3">
        <f t="shared" si="16"/>
        <v>1.1200000000000001</v>
      </c>
      <c r="V36" s="3" t="str">
        <f t="shared" si="16"/>
        <v>-</v>
      </c>
      <c r="W36" s="3">
        <f t="shared" si="16"/>
        <v>1.02</v>
      </c>
      <c r="X36" s="3">
        <f t="shared" si="16"/>
        <v>1.02</v>
      </c>
      <c r="Y36" s="3" t="str">
        <f t="shared" si="16"/>
        <v>-</v>
      </c>
      <c r="Z36" s="3">
        <f t="shared" si="16"/>
        <v>1</v>
      </c>
      <c r="AA36" s="3">
        <f t="shared" si="16"/>
        <v>1.1399999999999999</v>
      </c>
      <c r="AB36" s="3">
        <f t="shared" si="16"/>
        <v>1.27</v>
      </c>
      <c r="AC36" s="3" t="str">
        <f t="shared" si="16"/>
        <v>-</v>
      </c>
      <c r="AD36" s="3" t="str">
        <f t="shared" si="16"/>
        <v>-</v>
      </c>
      <c r="AE36" s="3">
        <f t="shared" si="16"/>
        <v>1</v>
      </c>
      <c r="AF36" s="3" t="str">
        <f t="shared" si="16"/>
        <v>-</v>
      </c>
      <c r="AG36" s="3">
        <f t="shared" si="16"/>
        <v>1.1200000000000001</v>
      </c>
      <c r="AH36" s="3" t="str">
        <f t="shared" si="16"/>
        <v>-</v>
      </c>
      <c r="AI36" s="3">
        <f t="shared" si="16"/>
        <v>1.17</v>
      </c>
      <c r="AJ36" s="3" t="str">
        <f t="shared" si="16"/>
        <v>-</v>
      </c>
      <c r="AK36" s="3">
        <f t="shared" si="16"/>
        <v>1.05</v>
      </c>
      <c r="AL36" s="3" t="str">
        <f t="shared" si="16"/>
        <v>-</v>
      </c>
      <c r="AM36" s="3">
        <f t="shared" si="16"/>
        <v>1</v>
      </c>
      <c r="AN36" s="3">
        <f t="shared" si="16"/>
        <v>1.08</v>
      </c>
      <c r="AO36" s="3" t="str">
        <f t="shared" si="16"/>
        <v>-</v>
      </c>
      <c r="AP36" s="3">
        <f t="shared" si="16"/>
        <v>1.17</v>
      </c>
      <c r="AQ36" s="3" t="str">
        <f t="shared" si="16"/>
        <v>-</v>
      </c>
      <c r="AR36" s="3" t="str">
        <f t="shared" si="16"/>
        <v>-</v>
      </c>
      <c r="AS36" s="3">
        <f t="shared" si="16"/>
        <v>1.05</v>
      </c>
      <c r="AT36" s="3" t="str">
        <f t="shared" si="16"/>
        <v>-</v>
      </c>
      <c r="AU36" s="3">
        <f t="shared" si="16"/>
        <v>1.04</v>
      </c>
      <c r="AV36" s="3" t="str">
        <f t="shared" si="16"/>
        <v>-</v>
      </c>
      <c r="AW36" s="3">
        <f t="shared" si="16"/>
        <v>1.06</v>
      </c>
      <c r="AX36" s="3" t="str">
        <f t="shared" si="16"/>
        <v>-</v>
      </c>
      <c r="AY36" s="3">
        <f t="shared" si="16"/>
        <v>1.2</v>
      </c>
      <c r="AZ36" s="3" t="str">
        <f t="shared" si="16"/>
        <v>-</v>
      </c>
      <c r="BA36" s="3">
        <f t="shared" si="16"/>
        <v>1.06</v>
      </c>
      <c r="BB36" s="3">
        <f t="shared" si="16"/>
        <v>1.1000000000000001</v>
      </c>
      <c r="BC36" s="3" t="str">
        <f t="shared" si="16"/>
        <v>-</v>
      </c>
      <c r="BD36" s="3">
        <f t="shared" ref="BD36:CE36" si="17">IFERROR(ROUND((BD16+BD17)/BD16,2),"-")</f>
        <v>1.04</v>
      </c>
      <c r="BE36" s="3" t="str">
        <f t="shared" si="17"/>
        <v>-</v>
      </c>
      <c r="BF36" s="3" t="str">
        <f t="shared" si="17"/>
        <v>-</v>
      </c>
      <c r="BG36" s="3">
        <f t="shared" si="17"/>
        <v>1</v>
      </c>
      <c r="BH36" s="3">
        <f t="shared" si="17"/>
        <v>1.06</v>
      </c>
      <c r="BI36" s="3" t="str">
        <f t="shared" si="17"/>
        <v>-</v>
      </c>
      <c r="BJ36" s="3" t="str">
        <f t="shared" si="17"/>
        <v>-</v>
      </c>
      <c r="BK36" s="3">
        <f t="shared" si="17"/>
        <v>1.1100000000000001</v>
      </c>
      <c r="BL36" s="3" t="str">
        <f t="shared" si="17"/>
        <v>-</v>
      </c>
      <c r="BM36" s="3">
        <f t="shared" si="17"/>
        <v>1</v>
      </c>
      <c r="BN36" s="3" t="str">
        <f t="shared" si="17"/>
        <v>-</v>
      </c>
      <c r="BO36" s="3">
        <f t="shared" si="17"/>
        <v>1</v>
      </c>
      <c r="BP36" s="3" t="str">
        <f t="shared" si="17"/>
        <v>-</v>
      </c>
      <c r="BQ36" s="3">
        <f t="shared" si="17"/>
        <v>1.2</v>
      </c>
      <c r="BR36" s="3" t="str">
        <f t="shared" si="17"/>
        <v>-</v>
      </c>
      <c r="BS36" s="3">
        <f t="shared" si="17"/>
        <v>1.1100000000000001</v>
      </c>
      <c r="BT36" s="3" t="str">
        <f t="shared" si="17"/>
        <v>-</v>
      </c>
      <c r="BU36" s="3">
        <f t="shared" si="17"/>
        <v>1.19</v>
      </c>
      <c r="BV36" s="3" t="str">
        <f t="shared" si="17"/>
        <v>-</v>
      </c>
      <c r="BW36" s="3">
        <f t="shared" si="17"/>
        <v>1.1100000000000001</v>
      </c>
      <c r="BX36" s="3" t="str">
        <f t="shared" si="17"/>
        <v>-</v>
      </c>
      <c r="BY36" s="3">
        <f t="shared" si="17"/>
        <v>1.1499999999999999</v>
      </c>
      <c r="BZ36" s="3">
        <f t="shared" si="17"/>
        <v>1.1299999999999999</v>
      </c>
      <c r="CA36" s="3" t="str">
        <f t="shared" si="17"/>
        <v>-</v>
      </c>
      <c r="CB36" s="3" t="str">
        <f t="shared" si="17"/>
        <v>-</v>
      </c>
      <c r="CC36" s="3" t="str">
        <f t="shared" si="17"/>
        <v>-</v>
      </c>
      <c r="CD36" s="3" t="str">
        <f t="shared" si="17"/>
        <v>-</v>
      </c>
      <c r="CE36" s="3" t="str">
        <f t="shared" si="17"/>
        <v>-</v>
      </c>
    </row>
    <row r="37" spans="2:83" x14ac:dyDescent="0.25">
      <c r="B37" s="1" t="s">
        <v>13</v>
      </c>
      <c r="C37" s="2" t="s">
        <v>20</v>
      </c>
      <c r="D37" s="3">
        <f>IFERROR(ROUND(D18/(D16+D17),2),"-")</f>
        <v>0.32</v>
      </c>
      <c r="E37" s="3" t="str">
        <f>IFERROR(ROUND(E18/(E16+E17),2),"-")</f>
        <v>-</v>
      </c>
      <c r="F37" s="3" t="str">
        <f t="shared" ref="F37:G37" si="18">IFERROR(ROUND(F18/(F16+F17),2),"-")</f>
        <v>-</v>
      </c>
      <c r="G37" s="3">
        <f t="shared" si="18"/>
        <v>0.6</v>
      </c>
      <c r="H37" s="3">
        <f t="shared" ref="H37:BC37" si="19">IFERROR(ROUND(H18/(H16+H17),2),"-")</f>
        <v>0.44</v>
      </c>
      <c r="I37" s="3">
        <f t="shared" si="19"/>
        <v>0.5</v>
      </c>
      <c r="J37" s="3" t="str">
        <f t="shared" si="19"/>
        <v>-</v>
      </c>
      <c r="K37" s="3">
        <f t="shared" si="19"/>
        <v>0.75</v>
      </c>
      <c r="L37" s="3">
        <f>IFERROR(ROUND(L18/(L16+L17),2),"-")</f>
        <v>0.65</v>
      </c>
      <c r="M37" s="3" t="str">
        <f>IFERROR(ROUND(M18/(M16+M17),2),"-")</f>
        <v>-</v>
      </c>
      <c r="N37" s="3">
        <f t="shared" si="19"/>
        <v>0.44</v>
      </c>
      <c r="O37" s="3" t="str">
        <f t="shared" si="19"/>
        <v>-</v>
      </c>
      <c r="P37" s="3" t="str">
        <f t="shared" si="19"/>
        <v>-</v>
      </c>
      <c r="Q37" s="3">
        <f t="shared" si="19"/>
        <v>0.16</v>
      </c>
      <c r="R37" s="3" t="str">
        <f t="shared" si="19"/>
        <v>-</v>
      </c>
      <c r="S37" s="3">
        <f t="shared" si="19"/>
        <v>0.19</v>
      </c>
      <c r="T37" s="3" t="str">
        <f t="shared" si="19"/>
        <v>-</v>
      </c>
      <c r="U37" s="3">
        <f t="shared" si="19"/>
        <v>0.16</v>
      </c>
      <c r="V37" s="3" t="str">
        <f t="shared" si="19"/>
        <v>-</v>
      </c>
      <c r="W37" s="3">
        <f t="shared" si="19"/>
        <v>0.48</v>
      </c>
      <c r="X37" s="3">
        <f t="shared" si="19"/>
        <v>0.55000000000000004</v>
      </c>
      <c r="Y37" s="3" t="str">
        <f t="shared" si="19"/>
        <v>-</v>
      </c>
      <c r="Z37" s="3">
        <f t="shared" si="19"/>
        <v>0.14000000000000001</v>
      </c>
      <c r="AA37" s="3">
        <f t="shared" si="19"/>
        <v>0.33</v>
      </c>
      <c r="AB37" s="3">
        <f t="shared" si="19"/>
        <v>0.46</v>
      </c>
      <c r="AC37" s="3" t="str">
        <f t="shared" si="19"/>
        <v>-</v>
      </c>
      <c r="AD37" s="3" t="str">
        <f t="shared" si="19"/>
        <v>-</v>
      </c>
      <c r="AE37" s="3">
        <f t="shared" si="19"/>
        <v>0.33</v>
      </c>
      <c r="AF37" s="3" t="str">
        <f t="shared" si="19"/>
        <v>-</v>
      </c>
      <c r="AG37" s="3">
        <f t="shared" si="19"/>
        <v>0.14000000000000001</v>
      </c>
      <c r="AH37" s="3" t="str">
        <f t="shared" si="19"/>
        <v>-</v>
      </c>
      <c r="AI37" s="3">
        <f t="shared" si="19"/>
        <v>0.21</v>
      </c>
      <c r="AJ37" s="3" t="str">
        <f t="shared" si="19"/>
        <v>-</v>
      </c>
      <c r="AK37" s="3">
        <f t="shared" si="19"/>
        <v>0.25</v>
      </c>
      <c r="AL37" s="3" t="str">
        <f t="shared" si="19"/>
        <v>-</v>
      </c>
      <c r="AM37" s="3">
        <f t="shared" si="19"/>
        <v>0.48</v>
      </c>
      <c r="AN37" s="3">
        <f t="shared" si="19"/>
        <v>0.38</v>
      </c>
      <c r="AO37" s="3" t="str">
        <f t="shared" si="19"/>
        <v>-</v>
      </c>
      <c r="AP37" s="3">
        <f t="shared" si="19"/>
        <v>0.45</v>
      </c>
      <c r="AQ37" s="3" t="str">
        <f t="shared" si="19"/>
        <v>-</v>
      </c>
      <c r="AR37" s="3" t="str">
        <f t="shared" si="19"/>
        <v>-</v>
      </c>
      <c r="AS37" s="3">
        <f t="shared" si="19"/>
        <v>0.24</v>
      </c>
      <c r="AT37" s="3" t="str">
        <f t="shared" si="19"/>
        <v>-</v>
      </c>
      <c r="AU37" s="3">
        <f t="shared" si="19"/>
        <v>0.09</v>
      </c>
      <c r="AV37" s="3" t="str">
        <f t="shared" si="19"/>
        <v>-</v>
      </c>
      <c r="AW37" s="3">
        <f t="shared" si="19"/>
        <v>0.24</v>
      </c>
      <c r="AX37" s="3" t="str">
        <f t="shared" si="19"/>
        <v>-</v>
      </c>
      <c r="AY37" s="3">
        <f t="shared" si="19"/>
        <v>0.39</v>
      </c>
      <c r="AZ37" s="3" t="str">
        <f t="shared" si="19"/>
        <v>-</v>
      </c>
      <c r="BA37" s="3">
        <f t="shared" si="19"/>
        <v>0.31</v>
      </c>
      <c r="BB37" s="3">
        <f t="shared" si="19"/>
        <v>0.55000000000000004</v>
      </c>
      <c r="BC37" s="3" t="str">
        <f t="shared" si="19"/>
        <v>-</v>
      </c>
      <c r="BD37" s="3">
        <f t="shared" ref="BD37:CE37" si="20">IFERROR(ROUND(BD18/(BD16+BD17),2),"-")</f>
        <v>0.43</v>
      </c>
      <c r="BE37" s="3" t="str">
        <f t="shared" si="20"/>
        <v>-</v>
      </c>
      <c r="BF37" s="3" t="str">
        <f t="shared" si="20"/>
        <v>-</v>
      </c>
      <c r="BG37" s="3">
        <f t="shared" si="20"/>
        <v>0.32</v>
      </c>
      <c r="BH37" s="3">
        <f t="shared" si="20"/>
        <v>0.46</v>
      </c>
      <c r="BI37" s="3" t="str">
        <f t="shared" si="20"/>
        <v>-</v>
      </c>
      <c r="BJ37" s="3" t="str">
        <f t="shared" si="20"/>
        <v>-</v>
      </c>
      <c r="BK37" s="3">
        <f t="shared" si="20"/>
        <v>0.28000000000000003</v>
      </c>
      <c r="BL37" s="3" t="str">
        <f t="shared" si="20"/>
        <v>-</v>
      </c>
      <c r="BM37" s="3">
        <f t="shared" si="20"/>
        <v>0.35</v>
      </c>
      <c r="BN37" s="3" t="str">
        <f t="shared" si="20"/>
        <v>-</v>
      </c>
      <c r="BO37" s="3">
        <f t="shared" si="20"/>
        <v>0.16</v>
      </c>
      <c r="BP37" s="3" t="str">
        <f t="shared" si="20"/>
        <v>-</v>
      </c>
      <c r="BQ37" s="3">
        <f t="shared" si="20"/>
        <v>0.66</v>
      </c>
      <c r="BR37" s="3" t="str">
        <f t="shared" si="20"/>
        <v>-</v>
      </c>
      <c r="BS37" s="3">
        <f t="shared" si="20"/>
        <v>0.28000000000000003</v>
      </c>
      <c r="BT37" s="3" t="str">
        <f t="shared" si="20"/>
        <v>-</v>
      </c>
      <c r="BU37" s="3">
        <f t="shared" si="20"/>
        <v>0.31</v>
      </c>
      <c r="BV37" s="3" t="str">
        <f t="shared" si="20"/>
        <v>-</v>
      </c>
      <c r="BW37" s="3">
        <f t="shared" si="20"/>
        <v>0.31</v>
      </c>
      <c r="BX37" s="3" t="str">
        <f t="shared" si="20"/>
        <v>-</v>
      </c>
      <c r="BY37" s="3">
        <f t="shared" si="20"/>
        <v>0.25</v>
      </c>
      <c r="BZ37" s="3">
        <f t="shared" si="20"/>
        <v>0.92</v>
      </c>
      <c r="CA37" s="3" t="str">
        <f t="shared" si="20"/>
        <v>-</v>
      </c>
      <c r="CB37" s="3" t="str">
        <f t="shared" si="20"/>
        <v>-</v>
      </c>
      <c r="CC37" s="3" t="str">
        <f t="shared" si="20"/>
        <v>-</v>
      </c>
      <c r="CD37" s="3" t="str">
        <f t="shared" si="20"/>
        <v>-</v>
      </c>
      <c r="CE37" s="3" t="str">
        <f t="shared" si="20"/>
        <v>-</v>
      </c>
    </row>
    <row r="38" spans="2:83" x14ac:dyDescent="0.25">
      <c r="B38" s="1" t="s">
        <v>14</v>
      </c>
      <c r="C38" s="2" t="s">
        <v>20</v>
      </c>
      <c r="D38" s="3">
        <f t="shared" ref="D38:E38" si="21">IFERROR(ROUND((IF(D35*12&gt;755,755*0.029,D35*12*0.029)+IF(D35*12&gt;876,876*0.22+(D35*12-876)*0.1,D35*12*0.22)+0.053*D35*12)/(D35*12)+1,3),"-")</f>
        <v>1.302</v>
      </c>
      <c r="E38" s="3" t="str">
        <f t="shared" si="21"/>
        <v>-</v>
      </c>
      <c r="F38" s="3" t="str">
        <f t="shared" ref="F38:G38" si="22">IFERROR(ROUND((IF(F35*12&gt;755,755*0.029,F35*12*0.029)+IF(F35*12&gt;876,876*0.22+(F35*12-876)*0.1,F35*12*0.22)+0.053*F35*12)/(F35*12)+1,3),"-")</f>
        <v>-</v>
      </c>
      <c r="G38" s="3">
        <f t="shared" si="22"/>
        <v>1.302</v>
      </c>
      <c r="H38" s="3">
        <f t="shared" ref="H38:BC38" si="23">IFERROR(ROUND((IF(H35*12&gt;755,755*0.029,H35*12*0.029)+IF(H35*12&gt;876,876*0.22+(H35*12-876)*0.1,H35*12*0.22)+0.053*H35*12)/(H35*12)+1,3),"-")</f>
        <v>1.302</v>
      </c>
      <c r="I38" s="3">
        <f t="shared" si="23"/>
        <v>1.302</v>
      </c>
      <c r="J38" s="3" t="str">
        <f t="shared" si="23"/>
        <v>-</v>
      </c>
      <c r="K38" s="3">
        <f t="shared" si="23"/>
        <v>1.302</v>
      </c>
      <c r="L38" s="3">
        <f t="shared" si="23"/>
        <v>1.302</v>
      </c>
      <c r="M38" s="3" t="str">
        <f t="shared" si="23"/>
        <v>-</v>
      </c>
      <c r="N38" s="3">
        <f t="shared" si="23"/>
        <v>1.302</v>
      </c>
      <c r="O38" s="3" t="str">
        <f t="shared" si="23"/>
        <v>-</v>
      </c>
      <c r="P38" s="3" t="str">
        <f t="shared" si="23"/>
        <v>-</v>
      </c>
      <c r="Q38" s="3">
        <f t="shared" si="23"/>
        <v>1.302</v>
      </c>
      <c r="R38" s="3" t="str">
        <f t="shared" si="23"/>
        <v>-</v>
      </c>
      <c r="S38" s="3">
        <f t="shared" si="23"/>
        <v>1.302</v>
      </c>
      <c r="T38" s="3" t="str">
        <f t="shared" si="23"/>
        <v>-</v>
      </c>
      <c r="U38" s="3">
        <f t="shared" si="23"/>
        <v>1.302</v>
      </c>
      <c r="V38" s="3" t="str">
        <f t="shared" si="23"/>
        <v>-</v>
      </c>
      <c r="W38" s="3">
        <f t="shared" si="23"/>
        <v>1.302</v>
      </c>
      <c r="X38" s="3">
        <f t="shared" si="23"/>
        <v>1.302</v>
      </c>
      <c r="Y38" s="3" t="str">
        <f t="shared" si="23"/>
        <v>-</v>
      </c>
      <c r="Z38" s="3">
        <f t="shared" si="23"/>
        <v>1.302</v>
      </c>
      <c r="AA38" s="3">
        <f t="shared" si="23"/>
        <v>1.302</v>
      </c>
      <c r="AB38" s="3">
        <f t="shared" si="23"/>
        <v>1.302</v>
      </c>
      <c r="AC38" s="3" t="str">
        <f t="shared" si="23"/>
        <v>-</v>
      </c>
      <c r="AD38" s="3" t="str">
        <f t="shared" si="23"/>
        <v>-</v>
      </c>
      <c r="AE38" s="3">
        <f t="shared" si="23"/>
        <v>1.302</v>
      </c>
      <c r="AF38" s="3" t="str">
        <f t="shared" si="23"/>
        <v>-</v>
      </c>
      <c r="AG38" s="3">
        <f t="shared" si="23"/>
        <v>1.302</v>
      </c>
      <c r="AH38" s="3" t="str">
        <f t="shared" si="23"/>
        <v>-</v>
      </c>
      <c r="AI38" s="3">
        <f t="shared" si="23"/>
        <v>1.302</v>
      </c>
      <c r="AJ38" s="3" t="str">
        <f t="shared" si="23"/>
        <v>-</v>
      </c>
      <c r="AK38" s="3">
        <f t="shared" si="23"/>
        <v>1.302</v>
      </c>
      <c r="AL38" s="3" t="str">
        <f t="shared" si="23"/>
        <v>-</v>
      </c>
      <c r="AM38" s="3">
        <f t="shared" si="23"/>
        <v>1.302</v>
      </c>
      <c r="AN38" s="3">
        <f t="shared" si="23"/>
        <v>1.302</v>
      </c>
      <c r="AO38" s="3" t="str">
        <f t="shared" si="23"/>
        <v>-</v>
      </c>
      <c r="AP38" s="3">
        <f t="shared" si="23"/>
        <v>1.302</v>
      </c>
      <c r="AQ38" s="3" t="str">
        <f t="shared" si="23"/>
        <v>-</v>
      </c>
      <c r="AR38" s="3" t="str">
        <f t="shared" si="23"/>
        <v>-</v>
      </c>
      <c r="AS38" s="3">
        <f t="shared" si="23"/>
        <v>1.302</v>
      </c>
      <c r="AT38" s="3" t="str">
        <f t="shared" si="23"/>
        <v>-</v>
      </c>
      <c r="AU38" s="3">
        <f t="shared" si="23"/>
        <v>1.302</v>
      </c>
      <c r="AV38" s="3" t="str">
        <f t="shared" si="23"/>
        <v>-</v>
      </c>
      <c r="AW38" s="3">
        <f t="shared" si="23"/>
        <v>1.302</v>
      </c>
      <c r="AX38" s="3" t="str">
        <f t="shared" si="23"/>
        <v>-</v>
      </c>
      <c r="AY38" s="3">
        <f t="shared" si="23"/>
        <v>1.302</v>
      </c>
      <c r="AZ38" s="3" t="str">
        <f t="shared" si="23"/>
        <v>-</v>
      </c>
      <c r="BA38" s="3">
        <f t="shared" si="23"/>
        <v>1.302</v>
      </c>
      <c r="BB38" s="3">
        <f t="shared" si="23"/>
        <v>1.302</v>
      </c>
      <c r="BC38" s="3" t="str">
        <f t="shared" si="23"/>
        <v>-</v>
      </c>
      <c r="BD38" s="3">
        <f t="shared" ref="BD38:CE38" si="24">IFERROR(ROUND((IF(BD35*12&gt;755,755*0.029,BD35*12*0.029)+IF(BD35*12&gt;876,876*0.22+(BD35*12-876)*0.1,BD35*12*0.22)+0.053*BD35*12)/(BD35*12)+1,3),"-")</f>
        <v>1.302</v>
      </c>
      <c r="BE38" s="3" t="str">
        <f t="shared" si="24"/>
        <v>-</v>
      </c>
      <c r="BF38" s="3" t="str">
        <f t="shared" si="24"/>
        <v>-</v>
      </c>
      <c r="BG38" s="3">
        <f t="shared" si="24"/>
        <v>1.302</v>
      </c>
      <c r="BH38" s="3">
        <f t="shared" si="24"/>
        <v>1.302</v>
      </c>
      <c r="BI38" s="3" t="str">
        <f t="shared" si="24"/>
        <v>-</v>
      </c>
      <c r="BJ38" s="3" t="str">
        <f t="shared" si="24"/>
        <v>-</v>
      </c>
      <c r="BK38" s="3">
        <f t="shared" si="24"/>
        <v>1.302</v>
      </c>
      <c r="BL38" s="3" t="str">
        <f t="shared" si="24"/>
        <v>-</v>
      </c>
      <c r="BM38" s="3">
        <f t="shared" si="24"/>
        <v>1.302</v>
      </c>
      <c r="BN38" s="3" t="str">
        <f t="shared" si="24"/>
        <v>-</v>
      </c>
      <c r="BO38" s="3">
        <f t="shared" si="24"/>
        <v>1.302</v>
      </c>
      <c r="BP38" s="3" t="str">
        <f t="shared" si="24"/>
        <v>-</v>
      </c>
      <c r="BQ38" s="3">
        <f t="shared" si="24"/>
        <v>1.302</v>
      </c>
      <c r="BR38" s="3" t="str">
        <f t="shared" si="24"/>
        <v>-</v>
      </c>
      <c r="BS38" s="3">
        <f t="shared" si="24"/>
        <v>1.302</v>
      </c>
      <c r="BT38" s="3" t="str">
        <f t="shared" si="24"/>
        <v>-</v>
      </c>
      <c r="BU38" s="3">
        <f t="shared" si="24"/>
        <v>1.302</v>
      </c>
      <c r="BV38" s="3" t="str">
        <f t="shared" si="24"/>
        <v>-</v>
      </c>
      <c r="BW38" s="3">
        <f t="shared" si="24"/>
        <v>1.302</v>
      </c>
      <c r="BX38" s="3" t="str">
        <f t="shared" si="24"/>
        <v>-</v>
      </c>
      <c r="BY38" s="3">
        <f t="shared" si="24"/>
        <v>1.302</v>
      </c>
      <c r="BZ38" s="3">
        <f t="shared" si="24"/>
        <v>1.302</v>
      </c>
      <c r="CA38" s="3" t="str">
        <f t="shared" si="24"/>
        <v>-</v>
      </c>
      <c r="CB38" s="3" t="str">
        <f t="shared" si="24"/>
        <v>-</v>
      </c>
      <c r="CC38" s="3" t="str">
        <f t="shared" si="24"/>
        <v>-</v>
      </c>
      <c r="CD38" s="3" t="str">
        <f t="shared" si="24"/>
        <v>-</v>
      </c>
      <c r="CE38" s="3" t="str">
        <f t="shared" si="24"/>
        <v>-</v>
      </c>
    </row>
    <row r="39" spans="2:83" x14ac:dyDescent="0.25">
      <c r="B39" s="1" t="s">
        <v>195</v>
      </c>
      <c r="C39" s="2" t="s">
        <v>20</v>
      </c>
      <c r="D39" s="3">
        <f>IF(D31="-","-",IFERROR(ROUND(365/(365-D19 - 2*3),"2"),"-"))</f>
        <v>1.1499999999999999</v>
      </c>
      <c r="E39" s="3" t="str">
        <f>IF(E31="-","-",IFERROR(ROUND(365/(365-E19 - 2*3),"2"),"-"))</f>
        <v>-</v>
      </c>
      <c r="F39" s="3" t="str">
        <f t="shared" ref="F39:BC39" si="25">IF(F31="-","-",IFERROR(ROUND(365/(365-F19 - 2*3),"2"),"-"))</f>
        <v>-</v>
      </c>
      <c r="G39" s="3">
        <f t="shared" si="25"/>
        <v>1.1499999999999999</v>
      </c>
      <c r="H39" s="3">
        <f t="shared" si="25"/>
        <v>1.1499999999999999</v>
      </c>
      <c r="I39" s="3">
        <f t="shared" si="25"/>
        <v>1.1499999999999999</v>
      </c>
      <c r="J39" s="3" t="str">
        <f t="shared" si="25"/>
        <v>-</v>
      </c>
      <c r="K39" s="3">
        <f t="shared" si="25"/>
        <v>1.1499999999999999</v>
      </c>
      <c r="L39" s="3">
        <f>IF(L31="-","-",IFERROR(ROUND(365/(365-L19 - 2*3),"2"),"-"))</f>
        <v>1.1499999999999999</v>
      </c>
      <c r="M39" s="3" t="str">
        <f>IF(M31="-","-",IFERROR(ROUND(365/(365-M19 - 2*3),"2"),"-"))</f>
        <v>-</v>
      </c>
      <c r="N39" s="3">
        <f t="shared" si="25"/>
        <v>1.1499999999999999</v>
      </c>
      <c r="O39" s="3" t="str">
        <f t="shared" si="25"/>
        <v>-</v>
      </c>
      <c r="P39" s="3" t="str">
        <f t="shared" si="25"/>
        <v>-</v>
      </c>
      <c r="Q39" s="3" t="str">
        <f t="shared" si="25"/>
        <v>-</v>
      </c>
      <c r="R39" s="3" t="str">
        <f t="shared" si="25"/>
        <v>-</v>
      </c>
      <c r="S39" s="3">
        <f t="shared" si="25"/>
        <v>1.1499999999999999</v>
      </c>
      <c r="T39" s="3" t="str">
        <f t="shared" si="25"/>
        <v>-</v>
      </c>
      <c r="U39" s="3">
        <f t="shared" si="25"/>
        <v>1.1499999999999999</v>
      </c>
      <c r="V39" s="3" t="str">
        <f t="shared" si="25"/>
        <v>-</v>
      </c>
      <c r="W39" s="3">
        <f t="shared" si="25"/>
        <v>1.2</v>
      </c>
      <c r="X39" s="3">
        <f t="shared" si="25"/>
        <v>1.18</v>
      </c>
      <c r="Y39" s="3" t="str">
        <f t="shared" si="25"/>
        <v>-</v>
      </c>
      <c r="Z39" s="3">
        <f t="shared" si="25"/>
        <v>1.2</v>
      </c>
      <c r="AA39" s="3">
        <f t="shared" si="25"/>
        <v>1.1499999999999999</v>
      </c>
      <c r="AB39" s="3">
        <f t="shared" si="25"/>
        <v>1.1499999999999999</v>
      </c>
      <c r="AC39" s="3" t="str">
        <f t="shared" si="25"/>
        <v>-</v>
      </c>
      <c r="AD39" s="3" t="str">
        <f t="shared" si="25"/>
        <v>-</v>
      </c>
      <c r="AE39" s="3">
        <f t="shared" si="25"/>
        <v>1.1499999999999999</v>
      </c>
      <c r="AF39" s="3" t="str">
        <f t="shared" si="25"/>
        <v>-</v>
      </c>
      <c r="AG39" s="3">
        <f t="shared" si="25"/>
        <v>1.1499999999999999</v>
      </c>
      <c r="AH39" s="3" t="str">
        <f t="shared" si="25"/>
        <v>-</v>
      </c>
      <c r="AI39" s="3">
        <f t="shared" si="25"/>
        <v>1.1499999999999999</v>
      </c>
      <c r="AJ39" s="3" t="str">
        <f t="shared" si="25"/>
        <v>-</v>
      </c>
      <c r="AK39" s="3">
        <f t="shared" si="25"/>
        <v>1.1499999999999999</v>
      </c>
      <c r="AL39" s="3" t="str">
        <f t="shared" si="25"/>
        <v>-</v>
      </c>
      <c r="AM39" s="3">
        <f t="shared" si="25"/>
        <v>1.2</v>
      </c>
      <c r="AN39" s="3">
        <f t="shared" si="25"/>
        <v>1.1499999999999999</v>
      </c>
      <c r="AO39" s="3" t="str">
        <f t="shared" si="25"/>
        <v>-</v>
      </c>
      <c r="AP39" s="3">
        <f t="shared" si="25"/>
        <v>1.1499999999999999</v>
      </c>
      <c r="AQ39" s="3" t="str">
        <f t="shared" si="25"/>
        <v>-</v>
      </c>
      <c r="AR39" s="3" t="str">
        <f t="shared" si="25"/>
        <v>-</v>
      </c>
      <c r="AS39" s="3">
        <f t="shared" si="25"/>
        <v>1.1499999999999999</v>
      </c>
      <c r="AT39" s="3" t="str">
        <f t="shared" si="25"/>
        <v>-</v>
      </c>
      <c r="AU39" s="3">
        <f t="shared" si="25"/>
        <v>1.1499999999999999</v>
      </c>
      <c r="AV39" s="3" t="str">
        <f t="shared" si="25"/>
        <v>-</v>
      </c>
      <c r="AW39" s="3">
        <f t="shared" si="25"/>
        <v>1.1499999999999999</v>
      </c>
      <c r="AX39" s="3" t="str">
        <f t="shared" si="25"/>
        <v>-</v>
      </c>
      <c r="AY39" s="3">
        <f t="shared" si="25"/>
        <v>1.1499999999999999</v>
      </c>
      <c r="AZ39" s="3" t="str">
        <f t="shared" si="25"/>
        <v>-</v>
      </c>
      <c r="BA39" s="3">
        <f t="shared" si="25"/>
        <v>1.1499999999999999</v>
      </c>
      <c r="BB39" s="3">
        <f t="shared" si="25"/>
        <v>1.1499999999999999</v>
      </c>
      <c r="BC39" s="3" t="str">
        <f t="shared" si="25"/>
        <v>-</v>
      </c>
      <c r="BD39" s="3">
        <f t="shared" ref="BD39:CE39" si="26">IF(BD31="-","-",IFERROR(ROUND(365/(365-BD19 - 2*3),"2"),"-"))</f>
        <v>1.2</v>
      </c>
      <c r="BE39" s="3" t="str">
        <f t="shared" si="26"/>
        <v>-</v>
      </c>
      <c r="BF39" s="3" t="str">
        <f t="shared" si="26"/>
        <v>-</v>
      </c>
      <c r="BG39" s="3">
        <f t="shared" si="26"/>
        <v>1.1499999999999999</v>
      </c>
      <c r="BH39" s="3">
        <f t="shared" si="26"/>
        <v>1.1499999999999999</v>
      </c>
      <c r="BI39" s="3" t="str">
        <f t="shared" si="26"/>
        <v>-</v>
      </c>
      <c r="BJ39" s="3" t="str">
        <f t="shared" si="26"/>
        <v>-</v>
      </c>
      <c r="BK39" s="3">
        <f t="shared" si="26"/>
        <v>1.1499999999999999</v>
      </c>
      <c r="BL39" s="3" t="str">
        <f t="shared" si="26"/>
        <v>-</v>
      </c>
      <c r="BM39" s="3">
        <f t="shared" si="26"/>
        <v>1.1499999999999999</v>
      </c>
      <c r="BN39" s="3" t="str">
        <f t="shared" si="26"/>
        <v>-</v>
      </c>
      <c r="BO39" s="3">
        <f t="shared" si="26"/>
        <v>1.1499999999999999</v>
      </c>
      <c r="BP39" s="3" t="str">
        <f t="shared" si="26"/>
        <v>-</v>
      </c>
      <c r="BQ39" s="3">
        <f t="shared" si="26"/>
        <v>1.1499999999999999</v>
      </c>
      <c r="BR39" s="3" t="str">
        <f t="shared" si="26"/>
        <v>-</v>
      </c>
      <c r="BS39" s="3">
        <f t="shared" si="26"/>
        <v>1.1499999999999999</v>
      </c>
      <c r="BT39" s="3" t="str">
        <f t="shared" si="26"/>
        <v>-</v>
      </c>
      <c r="BU39" s="3">
        <f t="shared" si="26"/>
        <v>1.1499999999999999</v>
      </c>
      <c r="BV39" s="3" t="str">
        <f t="shared" si="26"/>
        <v>-</v>
      </c>
      <c r="BW39" s="3">
        <f t="shared" si="26"/>
        <v>1.1499999999999999</v>
      </c>
      <c r="BX39" s="3" t="str">
        <f t="shared" si="26"/>
        <v>-</v>
      </c>
      <c r="BY39" s="3">
        <f t="shared" si="26"/>
        <v>1.1499999999999999</v>
      </c>
      <c r="BZ39" s="3">
        <f t="shared" si="26"/>
        <v>1.1499999999999999</v>
      </c>
      <c r="CA39" s="3" t="str">
        <f t="shared" si="26"/>
        <v>-</v>
      </c>
      <c r="CB39" s="3" t="str">
        <f t="shared" si="26"/>
        <v>-</v>
      </c>
      <c r="CC39" s="3" t="str">
        <f t="shared" si="26"/>
        <v>-</v>
      </c>
      <c r="CD39" s="3" t="str">
        <f t="shared" si="26"/>
        <v>-</v>
      </c>
      <c r="CE39" s="3" t="str">
        <f t="shared" si="26"/>
        <v>-</v>
      </c>
    </row>
    <row r="40" spans="2:83" x14ac:dyDescent="0.25">
      <c r="B40" s="1" t="s">
        <v>197</v>
      </c>
      <c r="C40" s="2" t="s">
        <v>21</v>
      </c>
      <c r="D40" s="17">
        <f>IF(D31="-","-",IFERROR(ROUNDDOWN(D13*18/D20,0),0))</f>
        <v>36</v>
      </c>
      <c r="E40" s="17" t="str">
        <f>IF(E31="-","-",IFERROR(ROUNDDOWN(E13*18/E20,0),0))</f>
        <v>-</v>
      </c>
      <c r="F40" s="17" t="str">
        <f t="shared" ref="F40:G40" si="27">IF(F31="-","-",IFERROR(ROUNDDOWN(F13*18/F20,0),0))</f>
        <v>-</v>
      </c>
      <c r="G40" s="17">
        <f t="shared" si="27"/>
        <v>24</v>
      </c>
      <c r="H40" s="17">
        <f t="shared" ref="H40:BC40" si="28">IF(H31="-","-",IFERROR(ROUNDDOWN(H13*18/H20,0),0))</f>
        <v>34</v>
      </c>
      <c r="I40" s="17">
        <f t="shared" si="28"/>
        <v>56</v>
      </c>
      <c r="J40" s="17" t="str">
        <f t="shared" si="28"/>
        <v>-</v>
      </c>
      <c r="K40" s="17">
        <f t="shared" si="28"/>
        <v>14</v>
      </c>
      <c r="L40" s="17">
        <f>IF(L31="-","-",IFERROR(ROUNDDOWN(L13*18/L20,0),0))</f>
        <v>47</v>
      </c>
      <c r="M40" s="17" t="str">
        <f>IF(M31="-","-",IFERROR(ROUNDDOWN(M13*18/M20,0),0))</f>
        <v>-</v>
      </c>
      <c r="N40" s="17">
        <f t="shared" si="28"/>
        <v>30</v>
      </c>
      <c r="O40" s="17" t="str">
        <f t="shared" si="28"/>
        <v>-</v>
      </c>
      <c r="P40" s="17" t="str">
        <f t="shared" si="28"/>
        <v>-</v>
      </c>
      <c r="Q40" s="17" t="str">
        <f t="shared" si="28"/>
        <v>-</v>
      </c>
      <c r="R40" s="17" t="str">
        <f t="shared" si="28"/>
        <v>-</v>
      </c>
      <c r="S40" s="17">
        <f t="shared" si="28"/>
        <v>36</v>
      </c>
      <c r="T40" s="17" t="str">
        <f t="shared" si="28"/>
        <v>-</v>
      </c>
      <c r="U40" s="17">
        <f t="shared" si="28"/>
        <v>11</v>
      </c>
      <c r="V40" s="17" t="str">
        <f t="shared" si="28"/>
        <v>-</v>
      </c>
      <c r="W40" s="17">
        <f t="shared" si="28"/>
        <v>29</v>
      </c>
      <c r="X40" s="17">
        <f t="shared" si="28"/>
        <v>28</v>
      </c>
      <c r="Y40" s="17" t="str">
        <f t="shared" si="28"/>
        <v>-</v>
      </c>
      <c r="Z40" s="17">
        <f t="shared" si="28"/>
        <v>25</v>
      </c>
      <c r="AA40" s="17">
        <f t="shared" si="28"/>
        <v>35</v>
      </c>
      <c r="AB40" s="17">
        <f t="shared" si="28"/>
        <v>23</v>
      </c>
      <c r="AC40" s="17" t="str">
        <f t="shared" si="28"/>
        <v>-</v>
      </c>
      <c r="AD40" s="17" t="str">
        <f t="shared" si="28"/>
        <v>-</v>
      </c>
      <c r="AE40" s="17">
        <f t="shared" si="28"/>
        <v>16</v>
      </c>
      <c r="AF40" s="17" t="str">
        <f t="shared" si="28"/>
        <v>-</v>
      </c>
      <c r="AG40" s="17">
        <f t="shared" si="28"/>
        <v>13</v>
      </c>
      <c r="AH40" s="17" t="str">
        <f t="shared" si="28"/>
        <v>-</v>
      </c>
      <c r="AI40" s="17">
        <f t="shared" si="28"/>
        <v>14</v>
      </c>
      <c r="AJ40" s="17" t="str">
        <f t="shared" si="28"/>
        <v>-</v>
      </c>
      <c r="AK40" s="17">
        <f t="shared" si="28"/>
        <v>14</v>
      </c>
      <c r="AL40" s="17" t="str">
        <f t="shared" si="28"/>
        <v>-</v>
      </c>
      <c r="AM40" s="17">
        <f t="shared" si="28"/>
        <v>10</v>
      </c>
      <c r="AN40" s="17">
        <f t="shared" si="28"/>
        <v>27</v>
      </c>
      <c r="AO40" s="17" t="str">
        <f t="shared" si="28"/>
        <v>-</v>
      </c>
      <c r="AP40" s="17">
        <f t="shared" si="28"/>
        <v>35</v>
      </c>
      <c r="AQ40" s="17" t="str">
        <f t="shared" si="28"/>
        <v>-</v>
      </c>
      <c r="AR40" s="17" t="str">
        <f t="shared" si="28"/>
        <v>-</v>
      </c>
      <c r="AS40" s="17">
        <f t="shared" si="28"/>
        <v>16</v>
      </c>
      <c r="AT40" s="17" t="str">
        <f t="shared" si="28"/>
        <v>-</v>
      </c>
      <c r="AU40" s="17">
        <f t="shared" si="28"/>
        <v>24</v>
      </c>
      <c r="AV40" s="17" t="str">
        <f t="shared" si="28"/>
        <v>-</v>
      </c>
      <c r="AW40" s="17">
        <f t="shared" si="28"/>
        <v>46</v>
      </c>
      <c r="AX40" s="17" t="str">
        <f t="shared" si="28"/>
        <v>-</v>
      </c>
      <c r="AY40" s="17">
        <f t="shared" si="28"/>
        <v>34</v>
      </c>
      <c r="AZ40" s="17" t="str">
        <f t="shared" si="28"/>
        <v>-</v>
      </c>
      <c r="BA40" s="17">
        <f t="shared" si="28"/>
        <v>19</v>
      </c>
      <c r="BB40" s="17">
        <f t="shared" si="28"/>
        <v>35</v>
      </c>
      <c r="BC40" s="17" t="str">
        <f t="shared" si="28"/>
        <v>-</v>
      </c>
      <c r="BD40" s="17">
        <f t="shared" ref="BD40:CE40" si="29">IF(BD31="-","-",IFERROR(ROUNDDOWN(BD13*18/BD20,0),0))</f>
        <v>26</v>
      </c>
      <c r="BE40" s="17" t="str">
        <f t="shared" si="29"/>
        <v>-</v>
      </c>
      <c r="BF40" s="17" t="str">
        <f t="shared" si="29"/>
        <v>-</v>
      </c>
      <c r="BG40" s="17">
        <f t="shared" si="29"/>
        <v>25</v>
      </c>
      <c r="BH40" s="17">
        <f t="shared" si="29"/>
        <v>35</v>
      </c>
      <c r="BI40" s="17" t="str">
        <f t="shared" si="29"/>
        <v>-</v>
      </c>
      <c r="BJ40" s="17" t="str">
        <f t="shared" si="29"/>
        <v>-</v>
      </c>
      <c r="BK40" s="17">
        <f t="shared" si="29"/>
        <v>14</v>
      </c>
      <c r="BL40" s="17" t="str">
        <f t="shared" si="29"/>
        <v>-</v>
      </c>
      <c r="BM40" s="17">
        <f t="shared" si="29"/>
        <v>29</v>
      </c>
      <c r="BN40" s="17" t="str">
        <f t="shared" si="29"/>
        <v>-</v>
      </c>
      <c r="BO40" s="17">
        <f t="shared" si="29"/>
        <v>18</v>
      </c>
      <c r="BP40" s="17" t="str">
        <f t="shared" si="29"/>
        <v>-</v>
      </c>
      <c r="BQ40" s="17">
        <f t="shared" si="29"/>
        <v>29</v>
      </c>
      <c r="BR40" s="17" t="str">
        <f t="shared" si="29"/>
        <v>-</v>
      </c>
      <c r="BS40" s="17">
        <f t="shared" si="29"/>
        <v>18</v>
      </c>
      <c r="BT40" s="17" t="str">
        <f t="shared" si="29"/>
        <v>-</v>
      </c>
      <c r="BU40" s="17">
        <f t="shared" si="29"/>
        <v>19</v>
      </c>
      <c r="BV40" s="17" t="str">
        <f t="shared" si="29"/>
        <v>-</v>
      </c>
      <c r="BW40" s="17">
        <f t="shared" si="29"/>
        <v>32</v>
      </c>
      <c r="BX40" s="17" t="str">
        <f t="shared" si="29"/>
        <v>-</v>
      </c>
      <c r="BY40" s="17">
        <f t="shared" si="29"/>
        <v>41</v>
      </c>
      <c r="BZ40" s="17">
        <f t="shared" si="29"/>
        <v>11</v>
      </c>
      <c r="CA40" s="17" t="str">
        <f t="shared" si="29"/>
        <v>-</v>
      </c>
      <c r="CB40" s="17" t="str">
        <f t="shared" si="29"/>
        <v>-</v>
      </c>
      <c r="CC40" s="17" t="str">
        <f t="shared" si="29"/>
        <v>-</v>
      </c>
      <c r="CD40" s="17" t="str">
        <f t="shared" si="29"/>
        <v>-</v>
      </c>
      <c r="CE40" s="17" t="str">
        <f t="shared" si="29"/>
        <v>-</v>
      </c>
    </row>
    <row r="41" spans="2:83" x14ac:dyDescent="0.25">
      <c r="B41" s="1" t="s">
        <v>17</v>
      </c>
      <c r="C41" s="2" t="s">
        <v>22</v>
      </c>
      <c r="D41" s="17">
        <f>IFERROR(ROUND(D15/D14,2),"-")</f>
        <v>1.33</v>
      </c>
      <c r="E41" s="17" t="str">
        <f>IFERROR(ROUND(E15/E14,2),"-")</f>
        <v>-</v>
      </c>
      <c r="F41" s="17" t="str">
        <f t="shared" ref="F41:G41" si="30">IFERROR(ROUND(F15/F14,2),"-")</f>
        <v>-</v>
      </c>
      <c r="G41" s="17">
        <f t="shared" si="30"/>
        <v>1.28</v>
      </c>
      <c r="H41" s="17">
        <f t="shared" ref="H41:BC41" si="31">IFERROR(ROUND(H15/H14,2),"-")</f>
        <v>1.1200000000000001</v>
      </c>
      <c r="I41" s="17">
        <f t="shared" si="31"/>
        <v>1.75</v>
      </c>
      <c r="J41" s="17" t="str">
        <f t="shared" si="31"/>
        <v>-</v>
      </c>
      <c r="K41" s="17">
        <f t="shared" si="31"/>
        <v>1.3</v>
      </c>
      <c r="L41" s="17">
        <f>IFERROR(ROUND(L15/L14,2),"-")</f>
        <v>1.32</v>
      </c>
      <c r="M41" s="17" t="str">
        <f>IFERROR(ROUND(M15/M14,2),"-")</f>
        <v>-</v>
      </c>
      <c r="N41" s="17">
        <f t="shared" si="31"/>
        <v>1.31</v>
      </c>
      <c r="O41" s="17" t="str">
        <f t="shared" si="31"/>
        <v>-</v>
      </c>
      <c r="P41" s="17" t="str">
        <f t="shared" si="31"/>
        <v>-</v>
      </c>
      <c r="Q41" s="17">
        <f t="shared" si="31"/>
        <v>0.88</v>
      </c>
      <c r="R41" s="17" t="str">
        <f t="shared" si="31"/>
        <v>-</v>
      </c>
      <c r="S41" s="17">
        <f t="shared" si="31"/>
        <v>1.29</v>
      </c>
      <c r="T41" s="17" t="str">
        <f t="shared" si="31"/>
        <v>-</v>
      </c>
      <c r="U41" s="17">
        <f t="shared" si="31"/>
        <v>0.67</v>
      </c>
      <c r="V41" s="17" t="str">
        <f t="shared" si="31"/>
        <v>-</v>
      </c>
      <c r="W41" s="17">
        <f t="shared" si="31"/>
        <v>1.3</v>
      </c>
      <c r="X41" s="17">
        <f t="shared" si="31"/>
        <v>1.58</v>
      </c>
      <c r="Y41" s="17" t="str">
        <f t="shared" si="31"/>
        <v>-</v>
      </c>
      <c r="Z41" s="17">
        <f t="shared" si="31"/>
        <v>1.53</v>
      </c>
      <c r="AA41" s="17">
        <f t="shared" si="31"/>
        <v>0.93</v>
      </c>
      <c r="AB41" s="17">
        <f t="shared" si="31"/>
        <v>1.1499999999999999</v>
      </c>
      <c r="AC41" s="17" t="str">
        <f t="shared" si="31"/>
        <v>-</v>
      </c>
      <c r="AD41" s="17" t="str">
        <f t="shared" si="31"/>
        <v>-</v>
      </c>
      <c r="AE41" s="17">
        <f t="shared" si="31"/>
        <v>1</v>
      </c>
      <c r="AF41" s="17" t="str">
        <f t="shared" si="31"/>
        <v>-</v>
      </c>
      <c r="AG41" s="17">
        <f t="shared" si="31"/>
        <v>1.1100000000000001</v>
      </c>
      <c r="AH41" s="17" t="str">
        <f t="shared" si="31"/>
        <v>-</v>
      </c>
      <c r="AI41" s="17">
        <f t="shared" si="31"/>
        <v>0.9</v>
      </c>
      <c r="AJ41" s="17" t="str">
        <f t="shared" si="31"/>
        <v>-</v>
      </c>
      <c r="AK41" s="17">
        <f t="shared" si="31"/>
        <v>1.38</v>
      </c>
      <c r="AL41" s="17" t="str">
        <f t="shared" si="31"/>
        <v>-</v>
      </c>
      <c r="AM41" s="17">
        <f t="shared" si="31"/>
        <v>0.83</v>
      </c>
      <c r="AN41" s="17">
        <f t="shared" si="31"/>
        <v>1</v>
      </c>
      <c r="AO41" s="17" t="str">
        <f t="shared" si="31"/>
        <v>-</v>
      </c>
      <c r="AP41" s="17">
        <f t="shared" si="31"/>
        <v>1.61</v>
      </c>
      <c r="AQ41" s="17" t="str">
        <f t="shared" si="31"/>
        <v>-</v>
      </c>
      <c r="AR41" s="17" t="str">
        <f t="shared" si="31"/>
        <v>-</v>
      </c>
      <c r="AS41" s="17">
        <f t="shared" si="31"/>
        <v>1.05</v>
      </c>
      <c r="AT41" s="17" t="str">
        <f t="shared" si="31"/>
        <v>-</v>
      </c>
      <c r="AU41" s="17">
        <f t="shared" si="31"/>
        <v>1.73</v>
      </c>
      <c r="AV41" s="17" t="str">
        <f t="shared" si="31"/>
        <v>-</v>
      </c>
      <c r="AW41" s="17">
        <f t="shared" si="31"/>
        <v>1.23</v>
      </c>
      <c r="AX41" s="17" t="str">
        <f t="shared" si="31"/>
        <v>-</v>
      </c>
      <c r="AY41" s="17">
        <f t="shared" si="31"/>
        <v>1</v>
      </c>
      <c r="AZ41" s="17" t="str">
        <f t="shared" si="31"/>
        <v>-</v>
      </c>
      <c r="BA41" s="17">
        <f t="shared" si="31"/>
        <v>1.1299999999999999</v>
      </c>
      <c r="BB41" s="17">
        <f t="shared" si="31"/>
        <v>1.21</v>
      </c>
      <c r="BC41" s="17" t="str">
        <f t="shared" si="31"/>
        <v>-</v>
      </c>
      <c r="BD41" s="17">
        <f t="shared" ref="BD41:CE41" si="32">IFERROR(ROUND(BD15/BD14,2),"-")</f>
        <v>1.57</v>
      </c>
      <c r="BE41" s="17" t="str">
        <f t="shared" si="32"/>
        <v>-</v>
      </c>
      <c r="BF41" s="17" t="str">
        <f t="shared" si="32"/>
        <v>-</v>
      </c>
      <c r="BG41" s="17">
        <f t="shared" si="32"/>
        <v>1.33</v>
      </c>
      <c r="BH41" s="17">
        <f t="shared" si="32"/>
        <v>0.94</v>
      </c>
      <c r="BI41" s="17" t="str">
        <f t="shared" si="32"/>
        <v>-</v>
      </c>
      <c r="BJ41" s="17" t="str">
        <f t="shared" si="32"/>
        <v>-</v>
      </c>
      <c r="BK41" s="17">
        <f t="shared" si="32"/>
        <v>1.63</v>
      </c>
      <c r="BL41" s="17" t="str">
        <f t="shared" si="32"/>
        <v>-</v>
      </c>
      <c r="BM41" s="17">
        <f t="shared" si="32"/>
        <v>1.1399999999999999</v>
      </c>
      <c r="BN41" s="17" t="str">
        <f t="shared" si="32"/>
        <v>-</v>
      </c>
      <c r="BO41" s="17">
        <f t="shared" si="32"/>
        <v>1.17</v>
      </c>
      <c r="BP41" s="17" t="str">
        <f t="shared" si="32"/>
        <v>-</v>
      </c>
      <c r="BQ41" s="17">
        <f t="shared" si="32"/>
        <v>1.26</v>
      </c>
      <c r="BR41" s="17" t="str">
        <f t="shared" si="32"/>
        <v>-</v>
      </c>
      <c r="BS41" s="17">
        <f t="shared" si="32"/>
        <v>1.25</v>
      </c>
      <c r="BT41" s="17" t="str">
        <f t="shared" si="32"/>
        <v>-</v>
      </c>
      <c r="BU41" s="17">
        <f t="shared" si="32"/>
        <v>1</v>
      </c>
      <c r="BV41" s="17" t="str">
        <f t="shared" si="32"/>
        <v>-</v>
      </c>
      <c r="BW41" s="17">
        <f t="shared" si="32"/>
        <v>1.34</v>
      </c>
      <c r="BX41" s="17" t="str">
        <f t="shared" si="32"/>
        <v>-</v>
      </c>
      <c r="BY41" s="17">
        <f t="shared" si="32"/>
        <v>1.23</v>
      </c>
      <c r="BZ41" s="17">
        <f t="shared" si="32"/>
        <v>0.81</v>
      </c>
      <c r="CA41" s="17" t="str">
        <f t="shared" si="32"/>
        <v>-</v>
      </c>
      <c r="CB41" s="17" t="str">
        <f t="shared" si="32"/>
        <v>-</v>
      </c>
      <c r="CC41" s="17" t="str">
        <f t="shared" si="32"/>
        <v>-</v>
      </c>
      <c r="CD41" s="17" t="str">
        <f t="shared" si="32"/>
        <v>-</v>
      </c>
      <c r="CE41" s="17" t="str">
        <f t="shared" si="32"/>
        <v>-</v>
      </c>
    </row>
    <row r="42" spans="2:83" ht="45" x14ac:dyDescent="0.25">
      <c r="B42" s="1" t="s">
        <v>175</v>
      </c>
      <c r="C42" s="2" t="s">
        <v>176</v>
      </c>
      <c r="D42" s="17">
        <f>D11</f>
        <v>0</v>
      </c>
      <c r="E42" s="17">
        <f>E11</f>
        <v>0</v>
      </c>
      <c r="F42" s="17">
        <f t="shared" ref="F42:G42" si="33">F11</f>
        <v>0</v>
      </c>
      <c r="G42" s="17">
        <f t="shared" si="33"/>
        <v>0</v>
      </c>
      <c r="H42" s="17">
        <f t="shared" ref="H42:BC42" si="34">H11</f>
        <v>0</v>
      </c>
      <c r="I42" s="17">
        <f t="shared" si="34"/>
        <v>0</v>
      </c>
      <c r="J42" s="17">
        <f t="shared" si="34"/>
        <v>0</v>
      </c>
      <c r="K42" s="17">
        <f t="shared" si="34"/>
        <v>0</v>
      </c>
      <c r="L42" s="17">
        <f>L11</f>
        <v>0</v>
      </c>
      <c r="M42" s="17">
        <f>M11</f>
        <v>0</v>
      </c>
      <c r="N42" s="17">
        <f t="shared" si="34"/>
        <v>0</v>
      </c>
      <c r="O42" s="17">
        <f t="shared" si="34"/>
        <v>0</v>
      </c>
      <c r="P42" s="17">
        <f t="shared" si="34"/>
        <v>0</v>
      </c>
      <c r="Q42" s="17">
        <f t="shared" si="34"/>
        <v>0</v>
      </c>
      <c r="R42" s="17">
        <f t="shared" si="34"/>
        <v>0</v>
      </c>
      <c r="S42" s="17">
        <f t="shared" si="34"/>
        <v>0</v>
      </c>
      <c r="T42" s="17">
        <f t="shared" si="34"/>
        <v>0</v>
      </c>
      <c r="U42" s="17">
        <f t="shared" si="34"/>
        <v>0</v>
      </c>
      <c r="V42" s="17">
        <f t="shared" si="34"/>
        <v>0</v>
      </c>
      <c r="W42" s="17">
        <f t="shared" si="34"/>
        <v>0</v>
      </c>
      <c r="X42" s="17">
        <f t="shared" si="34"/>
        <v>0</v>
      </c>
      <c r="Y42" s="17">
        <f t="shared" si="34"/>
        <v>0</v>
      </c>
      <c r="Z42" s="17">
        <f t="shared" si="34"/>
        <v>0</v>
      </c>
      <c r="AA42" s="17">
        <f t="shared" si="34"/>
        <v>0</v>
      </c>
      <c r="AB42" s="17">
        <f t="shared" si="34"/>
        <v>0</v>
      </c>
      <c r="AC42" s="17">
        <f t="shared" si="34"/>
        <v>0</v>
      </c>
      <c r="AD42" s="17">
        <f t="shared" si="34"/>
        <v>0</v>
      </c>
      <c r="AE42" s="17">
        <f t="shared" si="34"/>
        <v>0</v>
      </c>
      <c r="AF42" s="17">
        <f t="shared" si="34"/>
        <v>0</v>
      </c>
      <c r="AG42" s="17" t="str">
        <f t="shared" si="34"/>
        <v>-</v>
      </c>
      <c r="AH42" s="17">
        <f t="shared" si="34"/>
        <v>0</v>
      </c>
      <c r="AI42" s="17">
        <f t="shared" si="34"/>
        <v>0</v>
      </c>
      <c r="AJ42" s="17">
        <f t="shared" si="34"/>
        <v>0</v>
      </c>
      <c r="AK42" s="17">
        <f t="shared" si="34"/>
        <v>0</v>
      </c>
      <c r="AL42" s="17">
        <f t="shared" si="34"/>
        <v>0</v>
      </c>
      <c r="AM42" s="17">
        <f t="shared" si="34"/>
        <v>0</v>
      </c>
      <c r="AN42" s="17">
        <f t="shared" si="34"/>
        <v>0</v>
      </c>
      <c r="AO42" s="17">
        <f t="shared" si="34"/>
        <v>0</v>
      </c>
      <c r="AP42" s="17">
        <f t="shared" si="34"/>
        <v>0</v>
      </c>
      <c r="AQ42" s="17">
        <f t="shared" si="34"/>
        <v>0</v>
      </c>
      <c r="AR42" s="17">
        <f t="shared" si="34"/>
        <v>0</v>
      </c>
      <c r="AS42" s="17">
        <f t="shared" si="34"/>
        <v>0</v>
      </c>
      <c r="AT42" s="17">
        <f t="shared" si="34"/>
        <v>0</v>
      </c>
      <c r="AU42" s="17">
        <f t="shared" si="34"/>
        <v>0</v>
      </c>
      <c r="AV42" s="17">
        <f t="shared" si="34"/>
        <v>0</v>
      </c>
      <c r="AW42" s="17">
        <f t="shared" si="34"/>
        <v>0</v>
      </c>
      <c r="AX42" s="17">
        <f t="shared" si="34"/>
        <v>0</v>
      </c>
      <c r="AY42" s="17">
        <f t="shared" si="34"/>
        <v>0</v>
      </c>
      <c r="AZ42" s="17">
        <f t="shared" si="34"/>
        <v>0</v>
      </c>
      <c r="BA42" s="17">
        <f t="shared" si="34"/>
        <v>0</v>
      </c>
      <c r="BB42" s="17">
        <f t="shared" si="34"/>
        <v>0</v>
      </c>
      <c r="BC42" s="17">
        <f t="shared" si="34"/>
        <v>0</v>
      </c>
      <c r="BD42" s="17">
        <f t="shared" ref="BD42:CE42" si="35">BD11</f>
        <v>0</v>
      </c>
      <c r="BE42" s="17">
        <f t="shared" si="35"/>
        <v>0</v>
      </c>
      <c r="BF42" s="17">
        <f t="shared" si="35"/>
        <v>0</v>
      </c>
      <c r="BG42" s="17">
        <f t="shared" si="35"/>
        <v>0</v>
      </c>
      <c r="BH42" s="17">
        <f t="shared" si="35"/>
        <v>0</v>
      </c>
      <c r="BI42" s="17">
        <f t="shared" si="35"/>
        <v>0</v>
      </c>
      <c r="BJ42" s="17">
        <f t="shared" si="35"/>
        <v>0</v>
      </c>
      <c r="BK42" s="17">
        <f t="shared" si="35"/>
        <v>0</v>
      </c>
      <c r="BL42" s="17">
        <f t="shared" si="35"/>
        <v>0</v>
      </c>
      <c r="BM42" s="17">
        <f t="shared" si="35"/>
        <v>0</v>
      </c>
      <c r="BN42" s="17">
        <f t="shared" si="35"/>
        <v>0</v>
      </c>
      <c r="BO42" s="17">
        <f t="shared" si="35"/>
        <v>0</v>
      </c>
      <c r="BP42" s="17">
        <f t="shared" si="35"/>
        <v>0</v>
      </c>
      <c r="BQ42" s="17">
        <f t="shared" si="35"/>
        <v>0</v>
      </c>
      <c r="BR42" s="17">
        <f t="shared" si="35"/>
        <v>0</v>
      </c>
      <c r="BS42" s="17">
        <f t="shared" si="35"/>
        <v>0</v>
      </c>
      <c r="BT42" s="17">
        <f t="shared" si="35"/>
        <v>0</v>
      </c>
      <c r="BU42" s="17">
        <f t="shared" si="35"/>
        <v>0</v>
      </c>
      <c r="BV42" s="17">
        <f t="shared" si="35"/>
        <v>0</v>
      </c>
      <c r="BW42" s="17">
        <f t="shared" si="35"/>
        <v>0</v>
      </c>
      <c r="BX42" s="17">
        <f t="shared" si="35"/>
        <v>0</v>
      </c>
      <c r="BY42" s="17">
        <f t="shared" si="35"/>
        <v>0</v>
      </c>
      <c r="BZ42" s="17">
        <f t="shared" si="35"/>
        <v>0</v>
      </c>
      <c r="CA42" s="17">
        <f t="shared" si="35"/>
        <v>0</v>
      </c>
      <c r="CB42" s="17">
        <f t="shared" si="35"/>
        <v>0</v>
      </c>
      <c r="CC42" s="17">
        <f t="shared" si="35"/>
        <v>0</v>
      </c>
      <c r="CD42" s="17">
        <f t="shared" si="35"/>
        <v>0</v>
      </c>
      <c r="CE42" s="17">
        <f t="shared" si="35"/>
        <v>0</v>
      </c>
    </row>
    <row r="44" spans="2:83" ht="354" customHeight="1" x14ac:dyDescent="0.25">
      <c r="D44" s="48" t="s">
        <v>263</v>
      </c>
      <c r="E44" s="49"/>
      <c r="F44" s="48" t="s">
        <v>196</v>
      </c>
      <c r="G44" s="52"/>
      <c r="H44" s="48" t="s">
        <v>264</v>
      </c>
      <c r="I44" s="49"/>
      <c r="J44" s="48" t="s">
        <v>246</v>
      </c>
      <c r="K44" s="49"/>
      <c r="L44" s="48" t="s">
        <v>261</v>
      </c>
      <c r="M44" s="49"/>
      <c r="N44" s="48" t="s">
        <v>251</v>
      </c>
      <c r="O44" s="49"/>
      <c r="P44" s="48" t="s">
        <v>262</v>
      </c>
      <c r="Q44" s="49"/>
      <c r="R44" s="48" t="s">
        <v>196</v>
      </c>
      <c r="S44" s="52"/>
      <c r="T44" s="48" t="s">
        <v>252</v>
      </c>
      <c r="U44" s="49"/>
      <c r="V44" s="48" t="s">
        <v>196</v>
      </c>
      <c r="W44" s="52"/>
      <c r="X44" s="48" t="s">
        <v>251</v>
      </c>
      <c r="Y44" s="49"/>
      <c r="Z44" s="48" t="s">
        <v>253</v>
      </c>
      <c r="AA44" s="49"/>
      <c r="AB44" s="48" t="s">
        <v>249</v>
      </c>
      <c r="AC44" s="49"/>
      <c r="AD44" s="48" t="s">
        <v>245</v>
      </c>
      <c r="AE44" s="52"/>
      <c r="AF44" s="48" t="s">
        <v>245</v>
      </c>
      <c r="AG44" s="52"/>
      <c r="AH44" s="48" t="s">
        <v>243</v>
      </c>
      <c r="AI44" s="52"/>
      <c r="AJ44" s="48" t="s">
        <v>236</v>
      </c>
      <c r="AK44" s="49"/>
      <c r="AL44" s="48" t="s">
        <v>243</v>
      </c>
      <c r="AM44" s="52"/>
      <c r="AN44" s="48" t="s">
        <v>196</v>
      </c>
      <c r="AO44" s="52"/>
      <c r="AP44" s="48" t="s">
        <v>237</v>
      </c>
      <c r="AQ44" s="49"/>
      <c r="AR44" s="48" t="s">
        <v>248</v>
      </c>
      <c r="AS44" s="49"/>
      <c r="AT44" s="48" t="s">
        <v>258</v>
      </c>
      <c r="AU44" s="49"/>
      <c r="AV44" s="48" t="s">
        <v>248</v>
      </c>
      <c r="AW44" s="49"/>
      <c r="AX44" s="48" t="s">
        <v>247</v>
      </c>
      <c r="AY44" s="49"/>
      <c r="AZ44" s="48" t="s">
        <v>196</v>
      </c>
      <c r="BA44" s="52"/>
      <c r="BB44" s="48" t="s">
        <v>260</v>
      </c>
      <c r="BC44" s="49"/>
      <c r="BD44" s="48" t="s">
        <v>196</v>
      </c>
      <c r="BE44" s="52"/>
      <c r="BF44" s="48" t="s">
        <v>196</v>
      </c>
      <c r="BG44" s="52"/>
      <c r="BH44" s="48" t="s">
        <v>254</v>
      </c>
      <c r="BI44" s="52"/>
      <c r="BJ44" s="48" t="s">
        <v>238</v>
      </c>
      <c r="BK44" s="49"/>
      <c r="BL44" s="48" t="s">
        <v>242</v>
      </c>
      <c r="BM44" s="52"/>
      <c r="BN44" s="48" t="s">
        <v>241</v>
      </c>
      <c r="BO44" s="49"/>
      <c r="BP44" s="48" t="s">
        <v>240</v>
      </c>
      <c r="BQ44" s="52"/>
      <c r="BR44" s="48" t="s">
        <v>259</v>
      </c>
      <c r="BS44" s="49"/>
      <c r="BT44" s="53" t="s">
        <v>239</v>
      </c>
      <c r="BU44" s="49"/>
      <c r="BV44" s="48" t="s">
        <v>196</v>
      </c>
      <c r="BW44" s="52"/>
      <c r="BX44" s="48" t="s">
        <v>196</v>
      </c>
      <c r="BY44" s="52"/>
      <c r="BZ44" s="48" t="s">
        <v>250</v>
      </c>
      <c r="CA44" s="52"/>
      <c r="CB44" s="48"/>
      <c r="CC44" s="49"/>
      <c r="CD44" s="48"/>
      <c r="CE44" s="49"/>
    </row>
    <row r="45" spans="2:83" x14ac:dyDescent="0.25">
      <c r="D45" s="48"/>
      <c r="E45" s="49"/>
      <c r="F45" s="48"/>
      <c r="G45" s="49"/>
      <c r="H45" s="48"/>
      <c r="I45" s="49"/>
      <c r="J45" s="48"/>
      <c r="K45" s="49"/>
      <c r="L45" s="48"/>
      <c r="M45" s="49"/>
      <c r="N45" s="48"/>
      <c r="O45" s="49"/>
      <c r="P45" s="48"/>
      <c r="Q45" s="49"/>
      <c r="R45" s="48"/>
      <c r="S45" s="49"/>
      <c r="T45" s="48"/>
      <c r="U45" s="49"/>
      <c r="V45" s="48"/>
      <c r="W45" s="49"/>
      <c r="X45" s="48"/>
      <c r="Y45" s="49"/>
      <c r="Z45" s="48"/>
      <c r="AA45" s="49"/>
      <c r="AB45" s="48"/>
      <c r="AC45" s="49"/>
      <c r="AD45" s="48"/>
      <c r="AE45" s="49"/>
      <c r="AF45" s="48"/>
      <c r="AG45" s="49"/>
      <c r="AH45" s="48"/>
      <c r="AI45" s="49"/>
      <c r="AJ45" s="48"/>
      <c r="AK45" s="49"/>
      <c r="AL45" s="48"/>
      <c r="AM45" s="49"/>
      <c r="AN45" s="48"/>
      <c r="AO45" s="49"/>
      <c r="AP45" s="48"/>
      <c r="AQ45" s="49"/>
      <c r="AR45" s="48"/>
      <c r="AS45" s="49"/>
      <c r="AT45" s="48"/>
      <c r="AU45" s="49"/>
    </row>
    <row r="47" spans="2:83" ht="42" x14ac:dyDescent="0.25">
      <c r="B47" s="1" t="s">
        <v>185</v>
      </c>
      <c r="C47" s="2" t="s">
        <v>10</v>
      </c>
      <c r="D47" s="3">
        <f>IFERROR(ROUND((D6)/D20/35,2),"-")</f>
        <v>1.08</v>
      </c>
      <c r="E47" s="3" t="str">
        <f>IFERROR(ROUND((E6)/E20/35,2),"-")</f>
        <v>-</v>
      </c>
      <c r="F47" s="3" t="str">
        <f t="shared" ref="F47:AI47" si="36">IFERROR(ROUND((F6)/F20/35,2),"-")</f>
        <v>-</v>
      </c>
      <c r="G47" s="3">
        <f t="shared" si="36"/>
        <v>0.94</v>
      </c>
      <c r="H47" s="3">
        <f t="shared" si="36"/>
        <v>0.8</v>
      </c>
      <c r="I47" s="3">
        <f t="shared" si="36"/>
        <v>1.62</v>
      </c>
      <c r="J47" s="3" t="str">
        <f t="shared" si="36"/>
        <v>-</v>
      </c>
      <c r="K47" s="3">
        <f t="shared" si="36"/>
        <v>1.9</v>
      </c>
      <c r="L47" s="3">
        <f>IFERROR(ROUND((L6)/L20/35,2),"-")</f>
        <v>3.24</v>
      </c>
      <c r="M47" s="3" t="str">
        <f>IFERROR(ROUND((M6)/M20/35,2),"-")</f>
        <v>-</v>
      </c>
      <c r="N47" s="3">
        <f t="shared" si="36"/>
        <v>0.3</v>
      </c>
      <c r="O47" s="3" t="str">
        <f t="shared" si="36"/>
        <v>-</v>
      </c>
      <c r="P47" s="3" t="str">
        <f t="shared" si="36"/>
        <v>-</v>
      </c>
      <c r="Q47" s="3" t="str">
        <f t="shared" si="36"/>
        <v>-</v>
      </c>
      <c r="R47" s="3" t="str">
        <f t="shared" si="36"/>
        <v>-</v>
      </c>
      <c r="S47" s="3">
        <f t="shared" si="36"/>
        <v>0.46</v>
      </c>
      <c r="T47" s="3" t="str">
        <f t="shared" si="36"/>
        <v>-</v>
      </c>
      <c r="U47" s="3">
        <f t="shared" si="36"/>
        <v>12.09</v>
      </c>
      <c r="V47" s="3" t="str">
        <f t="shared" si="36"/>
        <v>-</v>
      </c>
      <c r="W47" s="3">
        <f t="shared" si="36"/>
        <v>0.6</v>
      </c>
      <c r="X47" s="3">
        <f t="shared" si="36"/>
        <v>0.71</v>
      </c>
      <c r="Y47" s="3" t="str">
        <f t="shared" si="36"/>
        <v>-</v>
      </c>
      <c r="Z47" s="3">
        <f t="shared" si="36"/>
        <v>0.48</v>
      </c>
      <c r="AA47" s="3">
        <f t="shared" si="36"/>
        <v>4.01</v>
      </c>
      <c r="AB47" s="3">
        <f t="shared" si="36"/>
        <v>0.61</v>
      </c>
      <c r="AC47" s="3" t="str">
        <f t="shared" si="36"/>
        <v>-</v>
      </c>
      <c r="AD47" s="3" t="str">
        <f t="shared" si="36"/>
        <v>-</v>
      </c>
      <c r="AE47" s="3">
        <f t="shared" si="36"/>
        <v>0.26</v>
      </c>
      <c r="AF47" s="3" t="str">
        <f t="shared" si="36"/>
        <v>-</v>
      </c>
      <c r="AG47" s="3">
        <f t="shared" si="36"/>
        <v>0.19</v>
      </c>
      <c r="AH47" s="3" t="str">
        <f t="shared" si="36"/>
        <v>-</v>
      </c>
      <c r="AI47" s="3">
        <f t="shared" si="36"/>
        <v>1.43</v>
      </c>
      <c r="AJ47" s="3" t="str">
        <f t="shared" ref="AJ47:BC47" si="37">IFERROR(ROUND((AJ6)/AJ20/35,2),"-")</f>
        <v>-</v>
      </c>
      <c r="AK47" s="3">
        <f t="shared" si="37"/>
        <v>0.6</v>
      </c>
      <c r="AL47" s="3" t="str">
        <f t="shared" si="37"/>
        <v>-</v>
      </c>
      <c r="AM47" s="3">
        <f t="shared" si="37"/>
        <v>0.16</v>
      </c>
      <c r="AN47" s="3">
        <f t="shared" si="37"/>
        <v>2.21</v>
      </c>
      <c r="AO47" s="3" t="str">
        <f t="shared" si="37"/>
        <v>-</v>
      </c>
      <c r="AP47" s="3">
        <f t="shared" si="37"/>
        <v>15.33</v>
      </c>
      <c r="AQ47" s="3" t="str">
        <f t="shared" si="37"/>
        <v>-</v>
      </c>
      <c r="AR47" s="3" t="str">
        <f t="shared" si="37"/>
        <v>-</v>
      </c>
      <c r="AS47" s="3">
        <f t="shared" si="37"/>
        <v>1.75</v>
      </c>
      <c r="AT47" s="3" t="str">
        <f t="shared" si="37"/>
        <v>-</v>
      </c>
      <c r="AU47" s="3">
        <f t="shared" si="37"/>
        <v>1.28</v>
      </c>
      <c r="AV47" s="3" t="str">
        <f t="shared" si="37"/>
        <v>-</v>
      </c>
      <c r="AW47" s="3">
        <f t="shared" si="37"/>
        <v>2.17</v>
      </c>
      <c r="AX47" s="3" t="str">
        <f t="shared" si="37"/>
        <v>-</v>
      </c>
      <c r="AY47" s="3">
        <f t="shared" si="37"/>
        <v>2.12</v>
      </c>
      <c r="AZ47" s="3" t="str">
        <f t="shared" si="37"/>
        <v>-</v>
      </c>
      <c r="BA47" s="3">
        <f t="shared" si="37"/>
        <v>1.19</v>
      </c>
      <c r="BB47" s="3">
        <f t="shared" si="37"/>
        <v>0.41</v>
      </c>
      <c r="BC47" s="3" t="str">
        <f t="shared" si="37"/>
        <v>-</v>
      </c>
      <c r="BD47" s="3">
        <f t="shared" ref="BD47:CE47" si="38">IFERROR(ROUND((BD6)/BD20/35,2),"-")</f>
        <v>1.1000000000000001</v>
      </c>
      <c r="BE47" s="3" t="str">
        <f t="shared" si="38"/>
        <v>-</v>
      </c>
      <c r="BF47" s="3" t="str">
        <f t="shared" si="38"/>
        <v>-</v>
      </c>
      <c r="BG47" s="3">
        <f t="shared" si="38"/>
        <v>1.6</v>
      </c>
      <c r="BH47" s="3">
        <f t="shared" si="38"/>
        <v>0.54</v>
      </c>
      <c r="BI47" s="3" t="str">
        <f t="shared" si="38"/>
        <v>-</v>
      </c>
      <c r="BJ47" s="3" t="str">
        <f t="shared" si="38"/>
        <v>-</v>
      </c>
      <c r="BK47" s="3">
        <f t="shared" si="38"/>
        <v>0.19</v>
      </c>
      <c r="BL47" s="3" t="str">
        <f t="shared" si="38"/>
        <v>-</v>
      </c>
      <c r="BM47" s="3">
        <f t="shared" si="38"/>
        <v>14.08</v>
      </c>
      <c r="BN47" s="3" t="str">
        <f t="shared" si="38"/>
        <v>-</v>
      </c>
      <c r="BO47" s="3">
        <f t="shared" si="38"/>
        <v>0.99</v>
      </c>
      <c r="BP47" s="3" t="str">
        <f t="shared" si="38"/>
        <v>-</v>
      </c>
      <c r="BQ47" s="3">
        <f t="shared" si="38"/>
        <v>0.33</v>
      </c>
      <c r="BR47" s="3" t="str">
        <f t="shared" si="38"/>
        <v>-</v>
      </c>
      <c r="BS47" s="3">
        <f t="shared" si="38"/>
        <v>0.84</v>
      </c>
      <c r="BT47" s="3" t="str">
        <f t="shared" si="38"/>
        <v>-</v>
      </c>
      <c r="BU47" s="3">
        <f t="shared" si="38"/>
        <v>1.07</v>
      </c>
      <c r="BV47" s="3" t="str">
        <f t="shared" si="38"/>
        <v>-</v>
      </c>
      <c r="BW47" s="3">
        <f t="shared" si="38"/>
        <v>1.99</v>
      </c>
      <c r="BX47" s="3" t="str">
        <f t="shared" si="38"/>
        <v>-</v>
      </c>
      <c r="BY47" s="3">
        <f t="shared" si="38"/>
        <v>1.26</v>
      </c>
      <c r="BZ47" s="3">
        <f t="shared" si="38"/>
        <v>1.49</v>
      </c>
      <c r="CA47" s="3" t="str">
        <f t="shared" si="38"/>
        <v>-</v>
      </c>
      <c r="CB47" s="3" t="str">
        <f t="shared" si="38"/>
        <v>-</v>
      </c>
      <c r="CC47" s="3" t="str">
        <f t="shared" si="38"/>
        <v>-</v>
      </c>
      <c r="CD47" s="3" t="str">
        <f t="shared" si="38"/>
        <v>-</v>
      </c>
      <c r="CE47" s="3" t="str">
        <f t="shared" si="38"/>
        <v>-</v>
      </c>
    </row>
  </sheetData>
  <sheetProtection algorithmName="SHA-512" hashValue="J+VlBSiQOjzlE+f51o+FMyQ/kEIgqBMS08hZd+idCFBnJzcPEGg13CySNFDu7TKHAHhfbtRun9HMCATahrYNHQ==" saltValue="dHssjLMGzoOl2AO8NX8v9Q==" spinCount="100000" sheet="1" objects="1" scenarios="1"/>
  <mergeCells count="102">
    <mergeCell ref="L44:M44"/>
    <mergeCell ref="AV44:AW44"/>
    <mergeCell ref="AX44:AY44"/>
    <mergeCell ref="AZ44:BA44"/>
    <mergeCell ref="BB44:BC44"/>
    <mergeCell ref="AV4:AW4"/>
    <mergeCell ref="AX4:AY4"/>
    <mergeCell ref="AZ4:BA4"/>
    <mergeCell ref="BB4:BC4"/>
    <mergeCell ref="D4:E4"/>
    <mergeCell ref="F4:G4"/>
    <mergeCell ref="H4:I4"/>
    <mergeCell ref="J4:K4"/>
    <mergeCell ref="L4:M4"/>
    <mergeCell ref="N4:O4"/>
    <mergeCell ref="AB44:AC44"/>
    <mergeCell ref="AD44:AE44"/>
    <mergeCell ref="AF44:AG44"/>
    <mergeCell ref="P44:Q44"/>
    <mergeCell ref="R44:S44"/>
    <mergeCell ref="T44:U44"/>
    <mergeCell ref="V44:W44"/>
    <mergeCell ref="X44:Y44"/>
    <mergeCell ref="Z44:AA44"/>
    <mergeCell ref="N44:O44"/>
    <mergeCell ref="Z4:AA4"/>
    <mergeCell ref="P4:Q4"/>
    <mergeCell ref="R4:S4"/>
    <mergeCell ref="T4:U4"/>
    <mergeCell ref="D44:E44"/>
    <mergeCell ref="F44:G44"/>
    <mergeCell ref="H44:I44"/>
    <mergeCell ref="J44:K44"/>
    <mergeCell ref="V45:W45"/>
    <mergeCell ref="X45:Y45"/>
    <mergeCell ref="Z45:AA45"/>
    <mergeCell ref="AB45:AC45"/>
    <mergeCell ref="AT4:AU4"/>
    <mergeCell ref="AB4:AC4"/>
    <mergeCell ref="AD4:AE4"/>
    <mergeCell ref="AF4:AG4"/>
    <mergeCell ref="AH4:AI4"/>
    <mergeCell ref="AJ4:AK4"/>
    <mergeCell ref="AL4:AM4"/>
    <mergeCell ref="AN44:AO44"/>
    <mergeCell ref="AP44:AQ44"/>
    <mergeCell ref="AR44:AS44"/>
    <mergeCell ref="AT44:AU44"/>
    <mergeCell ref="AJ44:AK44"/>
    <mergeCell ref="AL44:AM44"/>
    <mergeCell ref="V4:W4"/>
    <mergeCell ref="X4:Y4"/>
    <mergeCell ref="AN4:AO4"/>
    <mergeCell ref="AP4:AQ4"/>
    <mergeCell ref="AR4:AS4"/>
    <mergeCell ref="AH44:AI44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BF4:BG4"/>
    <mergeCell ref="BH4:BI4"/>
    <mergeCell ref="BJ4:BK4"/>
    <mergeCell ref="BL4:BM4"/>
    <mergeCell ref="AN45:AO45"/>
    <mergeCell ref="AP45:AQ45"/>
    <mergeCell ref="AR45:AS45"/>
    <mergeCell ref="AT45:AU45"/>
    <mergeCell ref="AD45:AE45"/>
    <mergeCell ref="AF45:AG45"/>
    <mergeCell ref="AH45:AI45"/>
    <mergeCell ref="AJ45:AK45"/>
    <mergeCell ref="AL45:AM45"/>
    <mergeCell ref="CB44:CC44"/>
    <mergeCell ref="CD44:CE44"/>
    <mergeCell ref="BX4:BY4"/>
    <mergeCell ref="BZ4:CA4"/>
    <mergeCell ref="CB4:CC4"/>
    <mergeCell ref="CD4:CE4"/>
    <mergeCell ref="BD44:BE44"/>
    <mergeCell ref="BF44:BG44"/>
    <mergeCell ref="BH44:BI44"/>
    <mergeCell ref="BJ44:BK44"/>
    <mergeCell ref="BL44:BM44"/>
    <mergeCell ref="BN44:BO44"/>
    <mergeCell ref="BP44:BQ44"/>
    <mergeCell ref="BR44:BS44"/>
    <mergeCell ref="BT44:BU44"/>
    <mergeCell ref="BV44:BW44"/>
    <mergeCell ref="BX44:BY44"/>
    <mergeCell ref="BZ44:CA44"/>
    <mergeCell ref="BN4:BO4"/>
    <mergeCell ref="BP4:BQ4"/>
    <mergeCell ref="BR4:BS4"/>
    <mergeCell ref="BT4:BU4"/>
    <mergeCell ref="BV4:BW4"/>
    <mergeCell ref="BD4:BE4"/>
  </mergeCells>
  <dataValidations count="4">
    <dataValidation type="whole" allowBlank="1" showInputMessage="1" showErrorMessage="1" sqref="BJ19:CA19 AV19:BG19 D19:AS19">
      <formula1>28</formula1>
      <formula2>90</formula2>
    </dataValidation>
    <dataValidation type="whole" allowBlank="1" showInputMessage="1" showErrorMessage="1" sqref="BJ20:CA20 BJ14:CA14 AV14:BG14 AV20:BG20 D20:AS20 D14:AS14">
      <formula1>0</formula1>
      <formula2>10000</formula2>
    </dataValidation>
    <dataValidation type="decimal" allowBlank="1" showErrorMessage="1" sqref="AT19:AU19">
      <formula1>28</formula1>
      <formula2>90</formula2>
    </dataValidation>
    <dataValidation type="decimal" allowBlank="1" showErrorMessage="1" sqref="AT14:AU14 AT20:AU20">
      <formula1>0</formula1>
      <formula2>10000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opLeftCell="I98" workbookViewId="0">
      <selection activeCell="I1" sqref="A1:XFD97"/>
    </sheetView>
  </sheetViews>
  <sheetFormatPr defaultRowHeight="15.4" customHeight="1" x14ac:dyDescent="0.25"/>
  <cols>
    <col min="2" max="2" width="31.140625" customWidth="1"/>
    <col min="3" max="6" width="29.5703125" customWidth="1"/>
    <col min="7" max="16" width="16.85546875" customWidth="1"/>
    <col min="20" max="20" width="34.28515625" customWidth="1"/>
  </cols>
  <sheetData>
    <row r="1" spans="1:20" ht="15" hidden="1" x14ac:dyDescent="0.25">
      <c r="C1">
        <v>30</v>
      </c>
      <c r="D1">
        <v>31</v>
      </c>
      <c r="E1">
        <v>32</v>
      </c>
      <c r="F1">
        <v>33</v>
      </c>
      <c r="G1">
        <v>34</v>
      </c>
      <c r="H1">
        <v>35</v>
      </c>
      <c r="I1">
        <v>36</v>
      </c>
      <c r="J1">
        <v>37</v>
      </c>
      <c r="K1">
        <v>38</v>
      </c>
      <c r="L1">
        <v>39</v>
      </c>
      <c r="M1">
        <v>40</v>
      </c>
      <c r="T1">
        <v>48</v>
      </c>
    </row>
    <row r="2" spans="1:20" ht="120" hidden="1" x14ac:dyDescent="0.25">
      <c r="B2" t="str">
        <f>CONCATENATE("=",ADDRESS(2,Q45,1,1,"исходные"))</f>
        <v>=исходные!$CH$2</v>
      </c>
      <c r="C2" s="1" t="s">
        <v>32</v>
      </c>
      <c r="D2" s="1" t="s">
        <v>33</v>
      </c>
      <c r="E2" s="1" t="s">
        <v>7</v>
      </c>
      <c r="F2" s="1" t="s">
        <v>8</v>
      </c>
      <c r="G2" s="1" t="s">
        <v>19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177</v>
      </c>
      <c r="O2" s="1"/>
      <c r="P2" s="1"/>
      <c r="T2" s="1" t="s">
        <v>185</v>
      </c>
    </row>
    <row r="3" spans="1:20" ht="30" hidden="1" x14ac:dyDescent="0.25">
      <c r="C3" s="2" t="s">
        <v>10</v>
      </c>
      <c r="D3" s="2" t="s">
        <v>10</v>
      </c>
      <c r="E3" s="2" t="s">
        <v>11</v>
      </c>
      <c r="F3" s="2" t="s">
        <v>11</v>
      </c>
      <c r="G3" s="2" t="s">
        <v>18</v>
      </c>
      <c r="H3" s="2" t="s">
        <v>20</v>
      </c>
      <c r="I3" s="2" t="s">
        <v>20</v>
      </c>
      <c r="J3" s="2" t="s">
        <v>20</v>
      </c>
      <c r="K3" s="2" t="s">
        <v>20</v>
      </c>
      <c r="L3" s="2" t="s">
        <v>21</v>
      </c>
      <c r="M3" s="2" t="s">
        <v>22</v>
      </c>
      <c r="N3" s="2" t="s">
        <v>176</v>
      </c>
      <c r="O3" s="2"/>
      <c r="P3" s="2"/>
      <c r="T3" s="2" t="s">
        <v>10</v>
      </c>
    </row>
    <row r="4" spans="1:20" ht="15.4" hidden="1" customHeight="1" x14ac:dyDescent="0.25">
      <c r="A4" s="55" t="s">
        <v>146</v>
      </c>
      <c r="B4" t="str">
        <f>исходные!$D$4</f>
        <v>Алейск</v>
      </c>
      <c r="C4">
        <f>исходные!$D$31</f>
        <v>1.68</v>
      </c>
      <c r="D4">
        <f>исходные!$D$32</f>
        <v>2.1</v>
      </c>
      <c r="E4">
        <f>исходные!$D$33</f>
        <v>10</v>
      </c>
      <c r="F4">
        <f>исходные!$D$34</f>
        <v>4.7</v>
      </c>
      <c r="G4" s="19">
        <f>исходные!$D$35</f>
        <v>26.5</v>
      </c>
      <c r="H4">
        <f>исходные!$D$36</f>
        <v>1.19</v>
      </c>
      <c r="I4">
        <f>исходные!$D$37</f>
        <v>0.32</v>
      </c>
      <c r="J4">
        <f>исходные!$D$38</f>
        <v>1.302</v>
      </c>
      <c r="K4">
        <f>исходные!$D$39</f>
        <v>1.1499999999999999</v>
      </c>
      <c r="L4" s="19">
        <f>исходные!$D$40</f>
        <v>36</v>
      </c>
      <c r="M4" s="19">
        <f>исходные!$D$41</f>
        <v>1.33</v>
      </c>
      <c r="N4" s="19">
        <f>исходные!$D$42</f>
        <v>0</v>
      </c>
      <c r="O4" s="19" t="str">
        <f>исходные!$D$44</f>
        <v>Рекомендуем при определении параметров для расчета нормативной стоимости:
1) пересмотреть значение коэффициента привлечения дополнительных педагогических работников в сторону уменьшения (исключить ФОТ тех иных педагогических работников, которые не участвуют в обеспечении обучения).</v>
      </c>
      <c r="P4" s="19"/>
      <c r="Q4">
        <v>4</v>
      </c>
      <c r="T4">
        <f>исходные!$D$47</f>
        <v>1.08</v>
      </c>
    </row>
    <row r="5" spans="1:20" ht="15.4" hidden="1" customHeight="1" x14ac:dyDescent="0.25">
      <c r="A5" s="55"/>
      <c r="B5" t="str">
        <f>исходные!$F$4</f>
        <v>Алтайский</v>
      </c>
      <c r="C5" t="str">
        <f>исходные!$F$31</f>
        <v>-</v>
      </c>
      <c r="D5" t="str">
        <f>исходные!$F$32</f>
        <v>-</v>
      </c>
      <c r="E5" t="str">
        <f>исходные!$F$33</f>
        <v>-</v>
      </c>
      <c r="F5" t="str">
        <f>исходные!$F$34</f>
        <v>-</v>
      </c>
      <c r="G5" s="19" t="str">
        <f>исходные!$F$35</f>
        <v>-</v>
      </c>
      <c r="H5" t="str">
        <f>исходные!$F$36</f>
        <v>-</v>
      </c>
      <c r="I5" t="str">
        <f>исходные!$F$37</f>
        <v>-</v>
      </c>
      <c r="J5" t="str">
        <f>исходные!$F$38</f>
        <v>-</v>
      </c>
      <c r="K5" t="str">
        <f>исходные!$F$39</f>
        <v>-</v>
      </c>
      <c r="L5" s="19" t="str">
        <f>исходные!$F$40</f>
        <v>-</v>
      </c>
      <c r="M5" s="19" t="str">
        <f>исходные!$F$41</f>
        <v>-</v>
      </c>
      <c r="N5" s="19">
        <f>исходные!$F$42</f>
        <v>0</v>
      </c>
      <c r="O5" s="19" t="str">
        <f>исходные!$F$44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P5" s="19"/>
      <c r="Q5">
        <f>Q4+2</f>
        <v>6</v>
      </c>
      <c r="S5" t="s">
        <v>62</v>
      </c>
      <c r="T5" t="str">
        <f>исходные!$F$47</f>
        <v>-</v>
      </c>
    </row>
    <row r="6" spans="1:20" ht="15.4" hidden="1" customHeight="1" x14ac:dyDescent="0.25">
      <c r="A6" s="55"/>
      <c r="B6" t="str">
        <f>исходные!$H$4</f>
        <v>Барнаул</v>
      </c>
      <c r="C6">
        <f>исходные!$H$31</f>
        <v>1.29</v>
      </c>
      <c r="D6">
        <f>исходные!$H$32</f>
        <v>1.57</v>
      </c>
      <c r="E6">
        <f>исходные!$H$33</f>
        <v>2.6</v>
      </c>
      <c r="F6">
        <f>исходные!$H$34</f>
        <v>0.9</v>
      </c>
      <c r="G6" s="19">
        <f>исходные!$H$35</f>
        <v>31.8</v>
      </c>
      <c r="H6">
        <f>исходные!$H$36</f>
        <v>1.25</v>
      </c>
      <c r="I6">
        <f>исходные!$H$37</f>
        <v>0.44</v>
      </c>
      <c r="J6">
        <f>исходные!$H$38</f>
        <v>1.302</v>
      </c>
      <c r="K6">
        <f>исходные!$H$39</f>
        <v>1.1499999999999999</v>
      </c>
      <c r="L6" s="19">
        <f>исходные!$H$40</f>
        <v>34</v>
      </c>
      <c r="M6" s="19">
        <f>исходные!$H$41</f>
        <v>1.1200000000000001</v>
      </c>
      <c r="N6" s="19">
        <f>исходные!$H$42</f>
        <v>0</v>
      </c>
      <c r="O6" s="19" t="str">
        <f>исходные!$H$44</f>
        <v>Рекомендуем при определении параметров для расчета нормативной стоимости:
1)увеличить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выше;
2) пересмотреть значение коэффициента привлечения дополнительных педагогических работников в сторону уменьшения (исключить ФОТ тех работников, которые не участвуют в обеспечении обучения);
3) применять значение параметра полезного использования одного кабинета в неделю по сельской местности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v>
      </c>
      <c r="P6" s="19"/>
      <c r="Q6">
        <f>Q5+2</f>
        <v>8</v>
      </c>
      <c r="S6" t="s">
        <v>64</v>
      </c>
      <c r="T6">
        <f>исходные!$H$47</f>
        <v>0.8</v>
      </c>
    </row>
    <row r="7" spans="1:20" ht="15.4" hidden="1" customHeight="1" x14ac:dyDescent="0.25">
      <c r="A7" s="55"/>
      <c r="B7" t="str">
        <f>исходные!$J$4</f>
        <v>Баевский</v>
      </c>
      <c r="C7" t="str">
        <f>исходные!$J$31</f>
        <v>-</v>
      </c>
      <c r="D7" t="str">
        <f>исходные!$J$32</f>
        <v>-</v>
      </c>
      <c r="E7" t="str">
        <f>исходные!$J$33</f>
        <v>-</v>
      </c>
      <c r="F7" t="str">
        <f>исходные!$J$34</f>
        <v>-</v>
      </c>
      <c r="G7" s="19" t="str">
        <f>исходные!$J$35</f>
        <v>-</v>
      </c>
      <c r="H7" t="str">
        <f>исходные!$J$36</f>
        <v>-</v>
      </c>
      <c r="I7" t="str">
        <f>исходные!$J$37</f>
        <v>-</v>
      </c>
      <c r="J7" t="str">
        <f>исходные!$J$38</f>
        <v>-</v>
      </c>
      <c r="K7" t="str">
        <f>исходные!$J$39</f>
        <v>-</v>
      </c>
      <c r="L7" s="19" t="str">
        <f>исходные!$J$40</f>
        <v>-</v>
      </c>
      <c r="M7" s="19" t="str">
        <f>исходные!$J$41</f>
        <v>-</v>
      </c>
      <c r="N7" s="19">
        <f>исходные!$J$42</f>
        <v>0</v>
      </c>
      <c r="O7" s="19" t="str">
        <f>исходные!$J$44</f>
        <v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2)применять значение коэффициента увеличения на прочий персонал в размере не более 0,5;
3)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v>
      </c>
      <c r="P7" s="19"/>
      <c r="Q7">
        <f t="shared" ref="Q7:Q46" si="0">Q6+2</f>
        <v>10</v>
      </c>
      <c r="S7" t="s">
        <v>66</v>
      </c>
      <c r="T7" t="str">
        <f>исходные!$J$47</f>
        <v>-</v>
      </c>
    </row>
    <row r="8" spans="1:20" ht="15.4" hidden="1" customHeight="1" x14ac:dyDescent="0.25">
      <c r="A8" s="55"/>
      <c r="B8" t="str">
        <f>исходные!$L$4</f>
        <v>Белокуриха</v>
      </c>
      <c r="C8">
        <f>исходные!$L$31</f>
        <v>3.8</v>
      </c>
      <c r="D8">
        <f>исходные!$L$32</f>
        <v>4.16</v>
      </c>
      <c r="E8">
        <f>исходные!$L$33</f>
        <v>3.02</v>
      </c>
      <c r="F8">
        <f>исходные!$L$34</f>
        <v>2</v>
      </c>
      <c r="G8" s="19">
        <f>исходные!$L$35</f>
        <v>25.3</v>
      </c>
      <c r="H8">
        <f>исходные!$L$36</f>
        <v>1.08</v>
      </c>
      <c r="I8">
        <f>исходные!$L$37</f>
        <v>0.65</v>
      </c>
      <c r="J8">
        <f>исходные!$L$38</f>
        <v>1.302</v>
      </c>
      <c r="K8">
        <f>исходные!$L$39</f>
        <v>1.1499999999999999</v>
      </c>
      <c r="L8" s="19">
        <f>исходные!$L$40</f>
        <v>47</v>
      </c>
      <c r="M8" s="19">
        <f>исходные!$L$41</f>
        <v>1.32</v>
      </c>
      <c r="N8" s="19">
        <f>исходные!$L$42</f>
        <v>0</v>
      </c>
      <c r="O8" s="19" t="str">
        <f>исходные!$L$44</f>
        <v xml:space="preserve"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выше;
2)применять значение коэффициента увеличения на прочий персонал в размере не более 0,5;
3)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 - расчетное значение высокое.
</v>
      </c>
      <c r="P8" s="19"/>
      <c r="Q8">
        <f t="shared" si="0"/>
        <v>12</v>
      </c>
      <c r="S8" t="s">
        <v>68</v>
      </c>
      <c r="T8">
        <f>исходные!$L$47</f>
        <v>3.24</v>
      </c>
    </row>
    <row r="9" spans="1:20" ht="15.4" hidden="1" customHeight="1" x14ac:dyDescent="0.25">
      <c r="A9" s="55"/>
      <c r="B9" t="str">
        <f>исходные!$N$4</f>
        <v>Бийск</v>
      </c>
      <c r="C9">
        <f>исходные!$N$31</f>
        <v>0.9</v>
      </c>
      <c r="D9">
        <f>исходные!$N$32</f>
        <v>1.32</v>
      </c>
      <c r="E9">
        <f>исходные!$N$33</f>
        <v>2</v>
      </c>
      <c r="F9">
        <f>исходные!$N$34</f>
        <v>1.1000000000000001</v>
      </c>
      <c r="G9" s="19">
        <f>исходные!$N$35</f>
        <v>24.006</v>
      </c>
      <c r="H9">
        <f>исходные!$N$36</f>
        <v>1.03</v>
      </c>
      <c r="I9">
        <f>исходные!$N$37</f>
        <v>0.44</v>
      </c>
      <c r="J9">
        <f>исходные!$N$38</f>
        <v>1.302</v>
      </c>
      <c r="K9">
        <f>исходные!$N$39</f>
        <v>1.1499999999999999</v>
      </c>
      <c r="L9" s="19">
        <f>исходные!$N$40</f>
        <v>30</v>
      </c>
      <c r="M9" s="19">
        <f>исходные!$N$41</f>
        <v>1.31</v>
      </c>
      <c r="N9" s="19">
        <f>исходные!$N$42</f>
        <v>0</v>
      </c>
      <c r="O9" s="19" t="str">
        <f>исходные!$N$44</f>
        <v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выше.</v>
      </c>
      <c r="P9" s="19"/>
      <c r="Q9">
        <f t="shared" si="0"/>
        <v>14</v>
      </c>
      <c r="S9" t="s">
        <v>70</v>
      </c>
      <c r="T9">
        <f>исходные!$N$47</f>
        <v>0.3</v>
      </c>
    </row>
    <row r="10" spans="1:20" ht="15.4" hidden="1" customHeight="1" x14ac:dyDescent="0.25">
      <c r="A10" s="55"/>
      <c r="B10" t="str">
        <f>исходные!$P$4</f>
        <v>Бийский</v>
      </c>
      <c r="C10" t="str">
        <f>исходные!$P$31</f>
        <v>-</v>
      </c>
      <c r="D10" t="str">
        <f>исходные!$P$32</f>
        <v>-</v>
      </c>
      <c r="E10" t="str">
        <f>исходные!$P$33</f>
        <v>-</v>
      </c>
      <c r="F10" t="str">
        <f>исходные!$P$34</f>
        <v>-</v>
      </c>
      <c r="G10" s="19" t="str">
        <f>исходные!$P$35</f>
        <v>-</v>
      </c>
      <c r="H10" t="str">
        <f>исходные!$P$36</f>
        <v>-</v>
      </c>
      <c r="I10" t="str">
        <f>исходные!$P$37</f>
        <v>-</v>
      </c>
      <c r="J10" t="str">
        <f>исходные!$P$38</f>
        <v>-</v>
      </c>
      <c r="K10" t="str">
        <f>исходные!$P$39</f>
        <v>-</v>
      </c>
      <c r="L10" s="19" t="str">
        <f>исходные!$P$40</f>
        <v>-</v>
      </c>
      <c r="M10" s="19" t="str">
        <f>исходные!$P$41</f>
        <v>-</v>
      </c>
      <c r="N10" s="19">
        <f>исходные!$P$42</f>
        <v>0</v>
      </c>
      <c r="O10" s="19" t="str">
        <f>исходные!$P$44</f>
        <v>Рекомендуем при определении параметров для расчета нормативной стоимости:
1)в целях закрепления единых норм предусатривать значение показатель по базовой потребности в приобретении услуг (кроме ПК и медосмотров);
2) пересмотреть значение коэффициента привлечения дополнительных педагогических работников в сторону уменьшения (исключить ФОТ тех иных педагогических работников, которые не участвуют в обеспечении обучения);
3) предусмотреть значение параметра полезного использования одного кабинета в неделю;
4)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v>
      </c>
      <c r="P10" s="19"/>
      <c r="Q10">
        <f t="shared" si="0"/>
        <v>16</v>
      </c>
      <c r="S10" t="s">
        <v>72</v>
      </c>
      <c r="T10" t="str">
        <f>исходные!$P$47</f>
        <v>-</v>
      </c>
    </row>
    <row r="11" spans="1:20" ht="15.4" hidden="1" customHeight="1" x14ac:dyDescent="0.25">
      <c r="A11" s="55"/>
      <c r="B11" t="str">
        <f>исходные!$R$4</f>
        <v>Благовещенский</v>
      </c>
      <c r="C11" t="str">
        <f>исходные!$R$31</f>
        <v>-</v>
      </c>
      <c r="D11" t="str">
        <f>исходные!$R$32</f>
        <v>-</v>
      </c>
      <c r="E11" t="str">
        <f>исходные!$R$33</f>
        <v>-</v>
      </c>
      <c r="F11" t="str">
        <f>исходные!$R$34</f>
        <v>-</v>
      </c>
      <c r="G11" s="19" t="str">
        <f>исходные!$R$35</f>
        <v>-</v>
      </c>
      <c r="H11" t="str">
        <f>исходные!$R$36</f>
        <v>-</v>
      </c>
      <c r="I11" t="str">
        <f>исходные!$R$37</f>
        <v>-</v>
      </c>
      <c r="J11" t="str">
        <f>исходные!$R$38</f>
        <v>-</v>
      </c>
      <c r="K11" t="str">
        <f>исходные!$R$39</f>
        <v>-</v>
      </c>
      <c r="L11" s="19" t="str">
        <f>исходные!$R$40</f>
        <v>-</v>
      </c>
      <c r="M11" s="19" t="str">
        <f>исходные!$R$41</f>
        <v>-</v>
      </c>
      <c r="N11" s="19">
        <f>исходные!$R$42</f>
        <v>0</v>
      </c>
      <c r="O11" s="19" t="str">
        <f>исходные!$R$44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P11" s="19"/>
      <c r="Q11">
        <f t="shared" si="0"/>
        <v>18</v>
      </c>
      <c r="S11" t="s">
        <v>74</v>
      </c>
      <c r="T11" t="str">
        <f>исходные!$R$47</f>
        <v>-</v>
      </c>
    </row>
    <row r="12" spans="1:20" ht="15.4" hidden="1" customHeight="1" x14ac:dyDescent="0.25">
      <c r="A12" s="55"/>
      <c r="B12" t="str">
        <f>исходные!$T$4</f>
        <v>Быстроистокский</v>
      </c>
      <c r="C12" t="str">
        <f>исходные!$T$31</f>
        <v>-</v>
      </c>
      <c r="D12" t="str">
        <f>исходные!$T$32</f>
        <v>-</v>
      </c>
      <c r="E12" t="str">
        <f>исходные!$T$33</f>
        <v>-</v>
      </c>
      <c r="F12" t="str">
        <f>исходные!$T$34</f>
        <v>-</v>
      </c>
      <c r="G12" s="19" t="str">
        <f>исходные!$T$35</f>
        <v>-</v>
      </c>
      <c r="H12" t="str">
        <f>исходные!$T$36</f>
        <v>-</v>
      </c>
      <c r="I12" t="str">
        <f>исходные!$T$37</f>
        <v>-</v>
      </c>
      <c r="J12" t="str">
        <f>исходные!$T$38</f>
        <v>-</v>
      </c>
      <c r="K12" t="str">
        <f>исходные!$T$39</f>
        <v>-</v>
      </c>
      <c r="L12" s="19" t="str">
        <f>исходные!$T$40</f>
        <v>-</v>
      </c>
      <c r="M12" s="19" t="str">
        <f>исходные!$T$41</f>
        <v>-</v>
      </c>
      <c r="N12" s="19">
        <f>исходные!$T$42</f>
        <v>0</v>
      </c>
      <c r="O12" s="19" t="str">
        <f>исходные!$T$44</f>
        <v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выше;
3)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4)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v>
      </c>
      <c r="P12" s="19"/>
      <c r="Q12">
        <f t="shared" si="0"/>
        <v>20</v>
      </c>
      <c r="S12" t="s">
        <v>76</v>
      </c>
      <c r="T12" t="str">
        <f>исходные!$T$47</f>
        <v>-</v>
      </c>
    </row>
    <row r="13" spans="1:20" ht="15.4" hidden="1" customHeight="1" x14ac:dyDescent="0.25">
      <c r="A13" s="55"/>
      <c r="B13" t="str">
        <f>исходные!$V$4</f>
        <v>Зявьяловский</v>
      </c>
      <c r="C13" t="str">
        <f>исходные!$V$31</f>
        <v>-</v>
      </c>
      <c r="D13" t="str">
        <f>исходные!$V$32</f>
        <v>-</v>
      </c>
      <c r="E13" t="str">
        <f>исходные!$V$33</f>
        <v>-</v>
      </c>
      <c r="F13" t="str">
        <f>исходные!$V$34</f>
        <v>-</v>
      </c>
      <c r="G13" s="19" t="str">
        <f>исходные!$V$35</f>
        <v>-</v>
      </c>
      <c r="H13" t="str">
        <f>исходные!$V$36</f>
        <v>-</v>
      </c>
      <c r="I13" t="str">
        <f>исходные!$V$37</f>
        <v>-</v>
      </c>
      <c r="J13" t="str">
        <f>исходные!$V$38</f>
        <v>-</v>
      </c>
      <c r="K13" t="str">
        <f>исходные!$V$39</f>
        <v>-</v>
      </c>
      <c r="L13" s="19" t="str">
        <f>исходные!$V$40</f>
        <v>-</v>
      </c>
      <c r="M13" s="19" t="str">
        <f>исходные!$V$41</f>
        <v>-</v>
      </c>
      <c r="N13" s="19">
        <f>исходные!$V$42</f>
        <v>0</v>
      </c>
      <c r="O13" s="19" t="str">
        <f>исходные!$V$44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P13" s="19"/>
      <c r="Q13">
        <f t="shared" si="0"/>
        <v>22</v>
      </c>
      <c r="S13" t="s">
        <v>78</v>
      </c>
      <c r="T13" t="str">
        <f>исходные!$V$47</f>
        <v>-</v>
      </c>
    </row>
    <row r="14" spans="1:20" ht="15.4" hidden="1" customHeight="1" x14ac:dyDescent="0.25">
      <c r="A14" s="55"/>
      <c r="B14" t="str">
        <f>исходные!$X$4</f>
        <v>Заринск</v>
      </c>
      <c r="C14">
        <f>исходные!$X$31</f>
        <v>1.06</v>
      </c>
      <c r="D14">
        <f>исходные!$X$32</f>
        <v>1.27</v>
      </c>
      <c r="E14">
        <f>исходные!$X$33</f>
        <v>2.5</v>
      </c>
      <c r="F14">
        <f>исходные!$X$34</f>
        <v>1.34</v>
      </c>
      <c r="G14" s="19">
        <f>исходные!$X$35</f>
        <v>25.07</v>
      </c>
      <c r="H14">
        <f>исходные!$X$36</f>
        <v>1.02</v>
      </c>
      <c r="I14">
        <f>исходные!$X$37</f>
        <v>0.55000000000000004</v>
      </c>
      <c r="J14">
        <f>исходные!$X$38</f>
        <v>1.302</v>
      </c>
      <c r="K14">
        <f>исходные!$X$39</f>
        <v>1.18</v>
      </c>
      <c r="L14" s="19">
        <f>исходные!$X$40</f>
        <v>28</v>
      </c>
      <c r="M14" s="19">
        <f>исходные!$X$41</f>
        <v>1.58</v>
      </c>
      <c r="N14" s="19">
        <f>исходные!$X$42</f>
        <v>0</v>
      </c>
      <c r="O14" s="19" t="str">
        <f>исходные!$X$44</f>
        <v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 - в среднем по региону показатель выше.</v>
      </c>
      <c r="P14" s="19"/>
      <c r="Q14">
        <f t="shared" si="0"/>
        <v>24</v>
      </c>
      <c r="S14" t="s">
        <v>80</v>
      </c>
      <c r="T14">
        <f>исходные!$X$47</f>
        <v>0.71</v>
      </c>
    </row>
    <row r="15" spans="1:20" ht="15.4" hidden="1" customHeight="1" x14ac:dyDescent="0.25">
      <c r="A15" s="55"/>
      <c r="B15" t="str">
        <f>исходные!$Z$4</f>
        <v>Змеиногорский</v>
      </c>
      <c r="C15">
        <f>исходные!$Z$31</f>
        <v>1.17</v>
      </c>
      <c r="D15">
        <f>исходные!$Z$32</f>
        <v>1.67</v>
      </c>
      <c r="E15">
        <f>исходные!$Z$33</f>
        <v>10.7</v>
      </c>
      <c r="F15">
        <f>исходные!$Z$34</f>
        <v>2.4</v>
      </c>
      <c r="G15" s="19">
        <f>исходные!$Z$35</f>
        <v>20.41</v>
      </c>
      <c r="H15">
        <f>исходные!$Z$36</f>
        <v>1</v>
      </c>
      <c r="I15">
        <f>исходные!$Z$37</f>
        <v>0.14000000000000001</v>
      </c>
      <c r="J15">
        <f>исходные!$Z$38</f>
        <v>1.302</v>
      </c>
      <c r="K15">
        <f>исходные!$Z$39</f>
        <v>1.2</v>
      </c>
      <c r="L15" s="19">
        <f>исходные!$Z$40</f>
        <v>25</v>
      </c>
      <c r="M15" s="19">
        <f>исходные!$Z$41</f>
        <v>1.53</v>
      </c>
      <c r="N15" s="19">
        <f>исходные!$Z$42</f>
        <v>0</v>
      </c>
      <c r="O15" s="19" t="str">
        <f>исходные!$Z$44</f>
        <v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по сельской местности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 увеличить показатель по базовой потребности в приобретении услуг ПК по сельской местности;
3) использовать значение параметра по среднему количеству ставок на одного педагога по сельской местности в размере не менее 1,0  (поскольку целевую з/п, скорее всего, вы обеспечиваете не менее, чем за ставку).</v>
      </c>
      <c r="P15" s="19"/>
      <c r="Q15">
        <f t="shared" si="0"/>
        <v>26</v>
      </c>
      <c r="S15" t="s">
        <v>82</v>
      </c>
      <c r="T15">
        <f>исходные!$Z$47</f>
        <v>0.48</v>
      </c>
    </row>
    <row r="16" spans="1:20" ht="15.4" hidden="1" customHeight="1" x14ac:dyDescent="0.25">
      <c r="A16" s="55"/>
      <c r="B16" t="str">
        <f>исходные!$AB$4</f>
        <v>Каменский</v>
      </c>
      <c r="C16">
        <f>исходные!$AB$31</f>
        <v>1.4</v>
      </c>
      <c r="D16">
        <f>исходные!$AB$32</f>
        <v>1.9</v>
      </c>
      <c r="E16">
        <f>исходные!$AB$33</f>
        <v>5</v>
      </c>
      <c r="F16">
        <f>исходные!$AB$34</f>
        <v>7.62</v>
      </c>
      <c r="G16" s="19">
        <f>исходные!$AB$35</f>
        <v>20.306000000000001</v>
      </c>
      <c r="H16">
        <f>исходные!$AB$36</f>
        <v>1.27</v>
      </c>
      <c r="I16">
        <f>исходные!$AB$37</f>
        <v>0.46</v>
      </c>
      <c r="J16">
        <f>исходные!$AB$38</f>
        <v>1.302</v>
      </c>
      <c r="K16">
        <f>исходные!$AB$39</f>
        <v>1.1499999999999999</v>
      </c>
      <c r="L16" s="19">
        <f>исходные!$AB$40</f>
        <v>23</v>
      </c>
      <c r="M16" s="19">
        <f>исходные!$AB$41</f>
        <v>1.1499999999999999</v>
      </c>
      <c r="N16" s="19">
        <f>исходные!$AB$42</f>
        <v>0</v>
      </c>
      <c r="O16" s="19" t="str">
        <f>исходные!$AB$44</f>
        <v>Рекомендуем при определении параметров для расчета нормативной стоимости:
1) пересмотреть значение показателя по базовой потребности в приобретении услуг на мероприятия по допуску педагога к работе - в среднем по региону показатель ниже;
2) пересмотреть значение коэффициента привлечения дополнительных педагогических работников (исключить ФОТ тех работников, которые не принимают участия в обеспечении обучения);
3) применять значение параметра полезного использования одного кабинета в неделю не по расчетному, а по фактическому значению(либо исходя из понимания нормальной загрузки кабинета для реализации общеразвивающих программ).</v>
      </c>
      <c r="P16" s="19"/>
      <c r="Q16">
        <f t="shared" si="0"/>
        <v>28</v>
      </c>
      <c r="S16" t="s">
        <v>84</v>
      </c>
      <c r="T16">
        <f>исходные!$AB$47</f>
        <v>0.61</v>
      </c>
    </row>
    <row r="17" spans="1:20" ht="15.4" hidden="1" customHeight="1" x14ac:dyDescent="0.25">
      <c r="A17" s="55"/>
      <c r="B17" t="str">
        <f>исходные!$AD$4</f>
        <v>Краснощековский</v>
      </c>
      <c r="C17" t="str">
        <f>исходные!$AD$31</f>
        <v>-</v>
      </c>
      <c r="D17" t="str">
        <f>исходные!$AD$32</f>
        <v>-</v>
      </c>
      <c r="E17" t="str">
        <f>исходные!$AD$33</f>
        <v>-</v>
      </c>
      <c r="F17" t="str">
        <f>исходные!$AD$34</f>
        <v>-</v>
      </c>
      <c r="G17" s="19" t="str">
        <f>исходные!$AD$35</f>
        <v>-</v>
      </c>
      <c r="H17" t="str">
        <f>исходные!$AD$36</f>
        <v>-</v>
      </c>
      <c r="I17" t="str">
        <f>исходные!$AD$37</f>
        <v>-</v>
      </c>
      <c r="J17" t="str">
        <f>исходные!$AD$38</f>
        <v>-</v>
      </c>
      <c r="K17" t="str">
        <f>исходные!$AD$39</f>
        <v>-</v>
      </c>
      <c r="L17" s="19" t="str">
        <f>исходные!$AD$40</f>
        <v>-</v>
      </c>
      <c r="M17" s="19" t="str">
        <f>исходные!$AD$41</f>
        <v>-</v>
      </c>
      <c r="N17" s="19">
        <f>исходные!$AD$42</f>
        <v>0</v>
      </c>
      <c r="O17" s="19" t="str">
        <f>исходные!$AD$44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v>
      </c>
      <c r="P17" s="19"/>
      <c r="Q17">
        <f t="shared" si="0"/>
        <v>30</v>
      </c>
      <c r="S17" t="s">
        <v>86</v>
      </c>
      <c r="T17" t="str">
        <f>исходные!$AD$47</f>
        <v>-</v>
      </c>
    </row>
    <row r="18" spans="1:20" ht="15.4" hidden="1" customHeight="1" x14ac:dyDescent="0.25">
      <c r="A18" s="55"/>
      <c r="B18" t="str">
        <f>исходные!$AF$4</f>
        <v>Крутихинский</v>
      </c>
      <c r="C18" t="str">
        <f>исходные!$AF$31</f>
        <v>-</v>
      </c>
      <c r="D18" t="str">
        <f>исходные!$AF$32</f>
        <v>-</v>
      </c>
      <c r="E18" t="str">
        <f>исходные!$AF$33</f>
        <v>-</v>
      </c>
      <c r="F18" t="str">
        <f>исходные!$AF$34</f>
        <v>-</v>
      </c>
      <c r="G18" s="19" t="str">
        <f>исходные!$AF$35</f>
        <v>-</v>
      </c>
      <c r="H18" t="str">
        <f>исходные!$AF$36</f>
        <v>-</v>
      </c>
      <c r="I18" t="str">
        <f>исходные!$AF$37</f>
        <v>-</v>
      </c>
      <c r="J18" t="str">
        <f>исходные!$AF$38</f>
        <v>-</v>
      </c>
      <c r="K18" t="str">
        <f>исходные!$AF$39</f>
        <v>-</v>
      </c>
      <c r="L18" s="19" t="str">
        <f>исходные!$AF$40</f>
        <v>-</v>
      </c>
      <c r="M18" s="19" t="str">
        <f>исходные!$AF$41</f>
        <v>-</v>
      </c>
      <c r="N18" s="19">
        <f>исходные!$AF$42</f>
        <v>0</v>
      </c>
      <c r="O18" s="19" t="str">
        <f>исходные!$AF$44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v>
      </c>
      <c r="P18" s="19"/>
      <c r="Q18">
        <f t="shared" si="0"/>
        <v>32</v>
      </c>
      <c r="S18" t="s">
        <v>88</v>
      </c>
      <c r="T18" t="str">
        <f>исходные!$AF$47</f>
        <v>-</v>
      </c>
    </row>
    <row r="19" spans="1:20" ht="15.4" hidden="1" customHeight="1" x14ac:dyDescent="0.25">
      <c r="A19" s="55"/>
      <c r="B19" t="str">
        <f>исходные!$AH$4</f>
        <v>Курьинский</v>
      </c>
      <c r="C19" t="str">
        <f>исходные!$AH$31</f>
        <v>-</v>
      </c>
      <c r="D19" t="str">
        <f>исходные!$AH$32</f>
        <v>-</v>
      </c>
      <c r="E19" t="str">
        <f>исходные!$AH$33</f>
        <v>-</v>
      </c>
      <c r="F19" t="str">
        <f>исходные!$AH$34</f>
        <v>-</v>
      </c>
      <c r="G19" s="19" t="str">
        <f>исходные!$AH$35</f>
        <v>-</v>
      </c>
      <c r="H19" t="str">
        <f>исходные!$AH$36</f>
        <v>-</v>
      </c>
      <c r="I19" t="str">
        <f>исходные!$AH$37</f>
        <v>-</v>
      </c>
      <c r="J19" t="str">
        <f>исходные!$AH$38</f>
        <v>-</v>
      </c>
      <c r="K19" t="str">
        <f>исходные!$AH$39</f>
        <v>-</v>
      </c>
      <c r="L19" s="19" t="str">
        <f>исходные!$AH$40</f>
        <v>-</v>
      </c>
      <c r="M19" s="19" t="str">
        <f>исходные!$AH$41</f>
        <v>-</v>
      </c>
      <c r="N19" s="19">
        <f>исходные!$AH$42</f>
        <v>0</v>
      </c>
      <c r="O19" s="19" t="str">
        <f>исходные!$AH$44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2)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v>
      </c>
      <c r="P19" s="19"/>
      <c r="Q19">
        <f t="shared" si="0"/>
        <v>34</v>
      </c>
      <c r="S19" t="s">
        <v>90</v>
      </c>
      <c r="T19" t="str">
        <f>исходные!$AH$47</f>
        <v>-</v>
      </c>
    </row>
    <row r="20" spans="1:20" ht="15.4" hidden="1" customHeight="1" x14ac:dyDescent="0.25">
      <c r="A20" s="55"/>
      <c r="B20" t="str">
        <f>исходные!$AJ$4</f>
        <v>Кытмановский</v>
      </c>
      <c r="C20" t="str">
        <f>исходные!$AJ$31</f>
        <v>-</v>
      </c>
      <c r="D20" t="str">
        <f>исходные!$AJ$32</f>
        <v>-</v>
      </c>
      <c r="E20" t="str">
        <f>исходные!$AJ$33</f>
        <v>-</v>
      </c>
      <c r="F20" t="str">
        <f>исходные!$AJ$34</f>
        <v>-</v>
      </c>
      <c r="G20" s="19" t="str">
        <f>исходные!$AJ$35</f>
        <v>-</v>
      </c>
      <c r="H20" t="str">
        <f>исходные!$AJ$36</f>
        <v>-</v>
      </c>
      <c r="I20" t="str">
        <f>исходные!$AJ$37</f>
        <v>-</v>
      </c>
      <c r="J20" t="str">
        <f>исходные!$AJ$38</f>
        <v>-</v>
      </c>
      <c r="K20" t="str">
        <f>исходные!$AJ$39</f>
        <v>-</v>
      </c>
      <c r="L20" s="19" t="str">
        <f>исходные!$AJ$40</f>
        <v>-</v>
      </c>
      <c r="M20" s="19" t="str">
        <f>исходные!$AJ$41</f>
        <v>-</v>
      </c>
      <c r="N20" s="19">
        <f>исходные!$AJ$42</f>
        <v>0</v>
      </c>
      <c r="O20" s="19" t="str">
        <f>исходные!$AJ$44</f>
        <v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ПК);
2) применять значение параметра полезного использования одного кабинета в неделю не по расчетному, а по фактическому значению.</v>
      </c>
      <c r="P20" s="19"/>
      <c r="Q20">
        <f t="shared" si="0"/>
        <v>36</v>
      </c>
      <c r="S20" t="s">
        <v>92</v>
      </c>
      <c r="T20" t="str">
        <f>исходные!$AJ$47</f>
        <v>-</v>
      </c>
    </row>
    <row r="21" spans="1:20" ht="15.4" hidden="1" customHeight="1" x14ac:dyDescent="0.25">
      <c r="A21" s="55"/>
      <c r="B21" t="str">
        <f>исходные!$AL$4</f>
        <v>Михайловский</v>
      </c>
      <c r="C21" t="str">
        <f>исходные!$AL$31</f>
        <v>-</v>
      </c>
      <c r="D21" t="str">
        <f>исходные!$AL$32</f>
        <v>-</v>
      </c>
      <c r="E21" t="str">
        <f>исходные!$AL$33</f>
        <v>-</v>
      </c>
      <c r="F21" t="str">
        <f>исходные!$AL$34</f>
        <v>-</v>
      </c>
      <c r="G21" s="19" t="str">
        <f>исходные!$AL$35</f>
        <v>-</v>
      </c>
      <c r="H21" t="str">
        <f>исходные!$AL$36</f>
        <v>-</v>
      </c>
      <c r="I21" t="str">
        <f>исходные!$AL$37</f>
        <v>-</v>
      </c>
      <c r="J21" t="str">
        <f>исходные!$AL$38</f>
        <v>-</v>
      </c>
      <c r="K21" t="str">
        <f>исходные!$AL$39</f>
        <v>-</v>
      </c>
      <c r="L21" s="19" t="str">
        <f>исходные!$AL$40</f>
        <v>-</v>
      </c>
      <c r="M21" s="19" t="str">
        <f>исходные!$AL$41</f>
        <v>-</v>
      </c>
      <c r="N21" s="19">
        <f>исходные!$AL$42</f>
        <v>0</v>
      </c>
      <c r="O21" s="19" t="str">
        <f>исходные!$AL$44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2)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v>
      </c>
      <c r="P21" s="19"/>
      <c r="Q21">
        <f t="shared" si="0"/>
        <v>38</v>
      </c>
      <c r="S21" t="s">
        <v>94</v>
      </c>
      <c r="T21" t="str">
        <f>исходные!$AL$47</f>
        <v>-</v>
      </c>
    </row>
    <row r="22" spans="1:20" ht="15.4" hidden="1" customHeight="1" x14ac:dyDescent="0.25">
      <c r="A22" s="55"/>
      <c r="B22" t="str">
        <f>исходные!$AN$4</f>
        <v>Локтевский</v>
      </c>
      <c r="C22">
        <f>исходные!$AN$31</f>
        <v>2.86</v>
      </c>
      <c r="D22">
        <f>исходные!$AN$32</f>
        <v>3.36</v>
      </c>
      <c r="E22">
        <f>исходные!$AN$33</f>
        <v>6</v>
      </c>
      <c r="F22">
        <f>исходные!$AN$34</f>
        <v>6.5</v>
      </c>
      <c r="G22" s="19">
        <f>исходные!$AN$35</f>
        <v>21.515000000000001</v>
      </c>
      <c r="H22">
        <f>исходные!$AN$36</f>
        <v>1.08</v>
      </c>
      <c r="I22">
        <f>исходные!$AN$37</f>
        <v>0.38</v>
      </c>
      <c r="J22">
        <f>исходные!$AN$38</f>
        <v>1.302</v>
      </c>
      <c r="K22">
        <f>исходные!$AN$39</f>
        <v>1.1499999999999999</v>
      </c>
      <c r="L22" s="19">
        <f>исходные!$AN$40</f>
        <v>27</v>
      </c>
      <c r="M22" s="19">
        <f>исходные!$AN$41</f>
        <v>1</v>
      </c>
      <c r="N22" s="19">
        <f>исходные!$AN$42</f>
        <v>0</v>
      </c>
      <c r="O22" s="19" t="str">
        <f>исходные!$AN$44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P22" s="19"/>
      <c r="Q22">
        <f t="shared" si="0"/>
        <v>40</v>
      </c>
      <c r="S22" t="s">
        <v>96</v>
      </c>
      <c r="T22">
        <f>исходные!$AN$47</f>
        <v>2.21</v>
      </c>
    </row>
    <row r="23" spans="1:20" ht="15.4" hidden="1" customHeight="1" x14ac:dyDescent="0.25">
      <c r="A23" s="55"/>
      <c r="B23" t="str">
        <f>исходные!$AP$4</f>
        <v>Новоалтайск</v>
      </c>
      <c r="C23">
        <f>исходные!$AP$31</f>
        <v>15.8</v>
      </c>
      <c r="D23">
        <f>исходные!$AP$32</f>
        <v>15.99</v>
      </c>
      <c r="E23">
        <f>исходные!$AP$33</f>
        <v>6</v>
      </c>
      <c r="F23">
        <f>исходные!$AP$34</f>
        <v>2</v>
      </c>
      <c r="G23" s="19">
        <f>исходные!$AP$35</f>
        <v>27.594000000000001</v>
      </c>
      <c r="H23">
        <f>исходные!$AP$36</f>
        <v>1.17</v>
      </c>
      <c r="I23">
        <f>исходные!$AP$37</f>
        <v>0.45</v>
      </c>
      <c r="J23">
        <f>исходные!$AP$38</f>
        <v>1.302</v>
      </c>
      <c r="K23">
        <f>исходные!$AP$39</f>
        <v>1.1499999999999999</v>
      </c>
      <c r="L23" s="19">
        <f>исходные!$AP$40</f>
        <v>35</v>
      </c>
      <c r="M23" s="19">
        <f>исходные!$AP$41</f>
        <v>1.61</v>
      </c>
      <c r="N23" s="19">
        <f>исходные!$AP$42</f>
        <v>0</v>
      </c>
      <c r="O23" s="19" t="str">
        <f>исходные!$AP$44</f>
        <v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обучения).</v>
      </c>
      <c r="P23" s="19"/>
      <c r="Q23">
        <f t="shared" si="0"/>
        <v>42</v>
      </c>
      <c r="S23" t="s">
        <v>98</v>
      </c>
      <c r="T23">
        <f>исходные!$AP$47</f>
        <v>15.33</v>
      </c>
    </row>
    <row r="24" spans="1:20" ht="15.4" hidden="1" customHeight="1" x14ac:dyDescent="0.25">
      <c r="A24" s="55"/>
      <c r="B24" t="str">
        <f>исходные!$AR$4</f>
        <v>Павловский</v>
      </c>
      <c r="C24" t="str">
        <f>исходные!$AR$31</f>
        <v>-</v>
      </c>
      <c r="D24" t="str">
        <f>исходные!$AR$32</f>
        <v>-</v>
      </c>
      <c r="E24" t="str">
        <f>исходные!$AR$33</f>
        <v>-</v>
      </c>
      <c r="F24" t="str">
        <f>исходные!$AR$34</f>
        <v>-</v>
      </c>
      <c r="G24" s="19" t="str">
        <f>исходные!$AR$35</f>
        <v>-</v>
      </c>
      <c r="H24" t="str">
        <f>исходные!$AR$36</f>
        <v>-</v>
      </c>
      <c r="I24" t="str">
        <f>исходные!$AR$37</f>
        <v>-</v>
      </c>
      <c r="J24" t="str">
        <f>исходные!$AR$38</f>
        <v>-</v>
      </c>
      <c r="K24" t="str">
        <f>исходные!$AR$39</f>
        <v>-</v>
      </c>
      <c r="L24" s="19" t="str">
        <f>исходные!$AR$40</f>
        <v>-</v>
      </c>
      <c r="M24" s="19" t="str">
        <f>исходные!$AR$41</f>
        <v>-</v>
      </c>
      <c r="N24" s="19">
        <f>исходные!$AR$42</f>
        <v>0</v>
      </c>
      <c r="O24" s="19" t="str">
        <f>исходные!$AR$44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фактическому значению(либо исходя из понимания нормальной загрузки кабинета для реализации общеразвивающих программ).</v>
      </c>
      <c r="P24" s="19"/>
      <c r="Q24">
        <f t="shared" si="0"/>
        <v>44</v>
      </c>
      <c r="S24" t="s">
        <v>100</v>
      </c>
      <c r="T24" t="str">
        <f>исходные!$AR$47</f>
        <v>-</v>
      </c>
    </row>
    <row r="25" spans="1:20" ht="15.4" hidden="1" customHeight="1" x14ac:dyDescent="0.25">
      <c r="A25" s="55"/>
      <c r="B25" t="str">
        <f>исходные!$AT$4</f>
        <v>Первомайский</v>
      </c>
      <c r="C25" t="str">
        <f>исходные!$AT$31</f>
        <v>-</v>
      </c>
      <c r="D25" t="str">
        <f>исходные!$AT$32</f>
        <v>-</v>
      </c>
      <c r="E25" t="str">
        <f>исходные!$AT$33</f>
        <v>-</v>
      </c>
      <c r="F25" t="str">
        <f>исходные!$AT$34</f>
        <v>-</v>
      </c>
      <c r="G25" s="19" t="str">
        <f>исходные!$AT$35</f>
        <v>-</v>
      </c>
      <c r="H25" t="str">
        <f>исходные!$AT$36</f>
        <v>-</v>
      </c>
      <c r="I25" t="str">
        <f>исходные!$AT$37</f>
        <v>-</v>
      </c>
      <c r="J25" t="str">
        <f>исходные!$AT$38</f>
        <v>-</v>
      </c>
      <c r="K25" t="str">
        <f>исходные!$AT$39</f>
        <v>-</v>
      </c>
      <c r="L25" s="19" t="str">
        <f>исходные!$AT$40</f>
        <v>-</v>
      </c>
      <c r="M25" s="19" t="str">
        <f>исходные!$AT$41</f>
        <v>-</v>
      </c>
      <c r="N25" s="19">
        <f>исходные!$AT$42</f>
        <v>0</v>
      </c>
      <c r="O25" s="19" t="str">
        <f>исходные!$AT$44</f>
        <v>Рекомендуем при определении параметров для расчета нормативной стоимости:
1) пересмотреть значение коэффициента увеличения на прочий персонал - показатель в среднем по региону выше.</v>
      </c>
      <c r="P25" s="19"/>
      <c r="Q25">
        <f t="shared" si="0"/>
        <v>46</v>
      </c>
      <c r="S25" t="s">
        <v>102</v>
      </c>
      <c r="T25" t="str">
        <f>исходные!$AT$47</f>
        <v>-</v>
      </c>
    </row>
    <row r="26" spans="1:20" ht="15.4" hidden="1" customHeight="1" x14ac:dyDescent="0.25">
      <c r="A26" s="55"/>
      <c r="B26" t="str">
        <f>исходные!$AV$4</f>
        <v>Поспелихинский</v>
      </c>
      <c r="C26" t="str">
        <f>исходные!$AV$31</f>
        <v>-</v>
      </c>
      <c r="D26" t="str">
        <f>исходные!$AV$32</f>
        <v>-</v>
      </c>
      <c r="E26" t="str">
        <f>исходные!$AV$33</f>
        <v>-</v>
      </c>
      <c r="F26" t="str">
        <f>исходные!$AV$34</f>
        <v>-</v>
      </c>
      <c r="G26" t="str">
        <f>исходные!$AV$35</f>
        <v>-</v>
      </c>
      <c r="H26" t="str">
        <f>исходные!$AV$36</f>
        <v>-</v>
      </c>
      <c r="I26" t="str">
        <f>исходные!$AV$37</f>
        <v>-</v>
      </c>
      <c r="J26" t="str">
        <f>исходные!$AV$38</f>
        <v>-</v>
      </c>
      <c r="K26" t="str">
        <f>исходные!$AV$39</f>
        <v>-</v>
      </c>
      <c r="L26" t="str">
        <f>исходные!$AV$40</f>
        <v>-</v>
      </c>
      <c r="M26" t="str">
        <f>исходные!$AV$41</f>
        <v>-</v>
      </c>
      <c r="N26" s="19">
        <f>исходные!$AV$42</f>
        <v>0</v>
      </c>
      <c r="O26" s="19" t="str">
        <f>исходные!$AV$44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фактическому значению(либо исходя из понимания нормальной загрузки кабинета для реализации общеразвивающих программ).</v>
      </c>
      <c r="Q26">
        <f t="shared" si="0"/>
        <v>48</v>
      </c>
      <c r="S26" t="s">
        <v>104</v>
      </c>
      <c r="T26" t="str">
        <f>исходные!$AV$47</f>
        <v>-</v>
      </c>
    </row>
    <row r="27" spans="1:20" ht="15.4" hidden="1" customHeight="1" x14ac:dyDescent="0.25">
      <c r="A27" s="55"/>
      <c r="B27" t="str">
        <f>исходные!$AX$4</f>
        <v>Родинский</v>
      </c>
      <c r="C27" t="str">
        <f>исходные!$AX$31</f>
        <v>-</v>
      </c>
      <c r="D27" t="str">
        <f>исходные!$AX$32</f>
        <v>-</v>
      </c>
      <c r="E27" t="str">
        <f>исходные!$AX$33</f>
        <v>-</v>
      </c>
      <c r="F27" t="str">
        <f>исходные!$AX$34</f>
        <v>-</v>
      </c>
      <c r="G27" t="str">
        <f>исходные!$AX$35</f>
        <v>-</v>
      </c>
      <c r="H27" t="str">
        <f>исходные!$AX$36</f>
        <v>-</v>
      </c>
      <c r="I27" t="str">
        <f>исходные!$AX$37</f>
        <v>-</v>
      </c>
      <c r="J27" t="str">
        <f>исходные!$AX$38</f>
        <v>-</v>
      </c>
      <c r="K27" t="str">
        <f>исходные!$AX$39</f>
        <v>-</v>
      </c>
      <c r="L27" t="str">
        <f>исходные!$AX$40</f>
        <v>-</v>
      </c>
      <c r="M27" t="str">
        <f>исходные!$AX$41</f>
        <v>-</v>
      </c>
      <c r="N27" s="19">
        <f>исходные!$AX$42</f>
        <v>0</v>
      </c>
      <c r="O27" s="19" t="str">
        <f>исходные!$AX$44</f>
        <v>Рекомендуем при определении параметров для расчета нормативной стоимости:
1) пересмотреть показатель по базовой потребности в приобретении услуг (кроме ПК и медосмотров) (не включайте при расчетах разовые расходы, расходы не за счет субсидии на муниципальное задание, расходы на налоги на имущество, землю, иные аналогичные платежи, расходы на средства обучения);
2)увеличить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ПК);
3) пересмотреть значение коэффициента привлечения дополнительных педагогических работников (исключить ФОТ тех работников, которые не участвуют в обеспечении обучения).</v>
      </c>
      <c r="Q27">
        <f t="shared" si="0"/>
        <v>50</v>
      </c>
      <c r="S27" t="s">
        <v>106</v>
      </c>
      <c r="T27" t="str">
        <f>исходные!$AX$47</f>
        <v>-</v>
      </c>
    </row>
    <row r="28" spans="1:20" ht="15.4" hidden="1" customHeight="1" x14ac:dyDescent="0.25">
      <c r="A28" s="55"/>
      <c r="B28" t="str">
        <f>исходные!$AZ$4</f>
        <v>Романовский</v>
      </c>
      <c r="C28" t="str">
        <f>исходные!$AZ$31</f>
        <v>-</v>
      </c>
      <c r="D28" t="str">
        <f>исходные!$AZ$32</f>
        <v>-</v>
      </c>
      <c r="E28" t="str">
        <f>исходные!$AZ$33</f>
        <v>-</v>
      </c>
      <c r="F28" t="str">
        <f>исходные!$AZ$34</f>
        <v>-</v>
      </c>
      <c r="G28" t="str">
        <f>исходные!$AZ$35</f>
        <v>-</v>
      </c>
      <c r="H28" t="str">
        <f>исходные!$AZ$36</f>
        <v>-</v>
      </c>
      <c r="I28" t="str">
        <f>исходные!$AZ$37</f>
        <v>-</v>
      </c>
      <c r="J28" t="str">
        <f>исходные!$AZ$38</f>
        <v>-</v>
      </c>
      <c r="K28" t="str">
        <f>исходные!$AZ$39</f>
        <v>-</v>
      </c>
      <c r="L28" t="str">
        <f>исходные!$AZ$40</f>
        <v>-</v>
      </c>
      <c r="M28" t="str">
        <f>исходные!$AZ$41</f>
        <v>-</v>
      </c>
      <c r="N28" s="19">
        <f>исходные!$AZ$42</f>
        <v>0</v>
      </c>
      <c r="O28" s="19" t="str">
        <f>исходные!$AZ$44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28">
        <f t="shared" si="0"/>
        <v>52</v>
      </c>
      <c r="S28" t="s">
        <v>108</v>
      </c>
      <c r="T28" t="str">
        <f>исходные!$AZ$47</f>
        <v>-</v>
      </c>
    </row>
    <row r="29" spans="1:20" ht="15.4" hidden="1" customHeight="1" x14ac:dyDescent="0.25">
      <c r="A29" s="55"/>
      <c r="B29" t="str">
        <f>исходные!$BB$4</f>
        <v>Рубцовск</v>
      </c>
      <c r="C29">
        <f>исходные!$BB$31</f>
        <v>1.43</v>
      </c>
      <c r="D29">
        <f>исходные!$BB$32</f>
        <v>2.17</v>
      </c>
      <c r="E29">
        <f>исходные!$BB$33</f>
        <v>6.5</v>
      </c>
      <c r="F29">
        <f>исходные!$BB$34</f>
        <v>1.1000000000000001</v>
      </c>
      <c r="G29">
        <f>исходные!$BB$35</f>
        <v>23.7</v>
      </c>
      <c r="H29">
        <f>исходные!$BB$36</f>
        <v>1.1000000000000001</v>
      </c>
      <c r="I29">
        <f>исходные!$BB$37</f>
        <v>0.55000000000000004</v>
      </c>
      <c r="J29">
        <f>исходные!$BB$38</f>
        <v>1.302</v>
      </c>
      <c r="K29">
        <f>исходные!$BB$39</f>
        <v>1.1499999999999999</v>
      </c>
      <c r="L29">
        <f>исходные!$BB$40</f>
        <v>35</v>
      </c>
      <c r="M29">
        <f>исходные!$BB$41</f>
        <v>1.21</v>
      </c>
      <c r="N29" s="19">
        <f>исходные!$BB$42</f>
        <v>0</v>
      </c>
      <c r="O29" s="19" t="str">
        <f>исходные!$BB$44</f>
        <v>Рекомендуем при определении параметров для расчета нормативной стоимости:
1) применять значение коэффициента увеличения на прочий персонал в размере не более 0,5.</v>
      </c>
      <c r="Q29">
        <f t="shared" si="0"/>
        <v>54</v>
      </c>
      <c r="S29" t="s">
        <v>110</v>
      </c>
      <c r="T29">
        <f>исходные!$BB$47</f>
        <v>0.41</v>
      </c>
    </row>
    <row r="30" spans="1:20" ht="15.4" hidden="1" customHeight="1" x14ac:dyDescent="0.25">
      <c r="A30" s="55"/>
      <c r="B30" t="str">
        <f>исходные!$BD$4</f>
        <v>Сибирский ЗАТО</v>
      </c>
      <c r="C30">
        <f>исходные!$BD$31</f>
        <v>1.43</v>
      </c>
      <c r="D30">
        <f>исходные!$BD$32</f>
        <v>1.59</v>
      </c>
      <c r="E30">
        <f>исходные!$BD$33</f>
        <v>5.8</v>
      </c>
      <c r="F30">
        <f>исходные!$BD$34</f>
        <v>3.8</v>
      </c>
      <c r="G30">
        <f>исходные!$BD$35</f>
        <v>24.4</v>
      </c>
      <c r="H30">
        <f>исходные!$BD$36</f>
        <v>1.04</v>
      </c>
      <c r="I30">
        <f>исходные!$BD$37</f>
        <v>0.43</v>
      </c>
      <c r="J30">
        <f>исходные!$BD$38</f>
        <v>1.302</v>
      </c>
      <c r="K30">
        <f>исходные!$BD$39</f>
        <v>1.2</v>
      </c>
      <c r="L30">
        <f>исходные!$BD$40</f>
        <v>26</v>
      </c>
      <c r="M30">
        <f>исходные!$BD$41</f>
        <v>1.57</v>
      </c>
      <c r="N30" s="19">
        <f>исходные!$BD$42</f>
        <v>0</v>
      </c>
      <c r="O30" s="19" t="str">
        <f>исходные!$BD$44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30">
        <f t="shared" si="0"/>
        <v>56</v>
      </c>
      <c r="S30" t="s">
        <v>112</v>
      </c>
      <c r="T30">
        <f>исходные!$BD$47</f>
        <v>1.1000000000000001</v>
      </c>
    </row>
    <row r="31" spans="1:20" ht="15.4" hidden="1" customHeight="1" x14ac:dyDescent="0.25">
      <c r="A31" s="55"/>
      <c r="B31" t="str">
        <f>исходные!$BF$4</f>
        <v>Смоленский</v>
      </c>
      <c r="C31" t="str">
        <f>исходные!$BF$31</f>
        <v>-</v>
      </c>
      <c r="D31" t="str">
        <f>исходные!$BF$32</f>
        <v>-</v>
      </c>
      <c r="E31" t="str">
        <f>исходные!$BF$33</f>
        <v>-</v>
      </c>
      <c r="F31" t="str">
        <f>исходные!$BF$34</f>
        <v>-</v>
      </c>
      <c r="G31" t="str">
        <f>исходные!$BF$35</f>
        <v>-</v>
      </c>
      <c r="H31" t="str">
        <f>исходные!$BF$36</f>
        <v>-</v>
      </c>
      <c r="I31" t="str">
        <f>исходные!$BF$37</f>
        <v>-</v>
      </c>
      <c r="J31" t="str">
        <f>исходные!$BF$38</f>
        <v>-</v>
      </c>
      <c r="K31" t="str">
        <f>исходные!$BF$39</f>
        <v>-</v>
      </c>
      <c r="L31" t="str">
        <f>исходные!$BF$40</f>
        <v>-</v>
      </c>
      <c r="M31" t="str">
        <f>исходные!$BF$41</f>
        <v>-</v>
      </c>
      <c r="N31" s="19">
        <f>исходные!$BF$42</f>
        <v>0</v>
      </c>
      <c r="O31" s="19" t="str">
        <f>исходные!$BF$44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31">
        <f t="shared" si="0"/>
        <v>58</v>
      </c>
      <c r="S31" t="s">
        <v>114</v>
      </c>
      <c r="T31" t="str">
        <f>исходные!$BF$47</f>
        <v>-</v>
      </c>
    </row>
    <row r="32" spans="1:20" ht="15.4" hidden="1" customHeight="1" x14ac:dyDescent="0.25">
      <c r="A32" s="55"/>
      <c r="B32" t="str">
        <f>исходные!$BH$4</f>
        <v>Славгород</v>
      </c>
      <c r="C32">
        <f>исходные!$BH$31</f>
        <v>1.29</v>
      </c>
      <c r="D32">
        <f>исходные!$BH$32</f>
        <v>1.73</v>
      </c>
      <c r="E32">
        <f>исходные!$BH$33</f>
        <v>8</v>
      </c>
      <c r="F32">
        <f>исходные!$BH$34</f>
        <v>2.8</v>
      </c>
      <c r="G32">
        <f>исходные!$BH$35</f>
        <v>25.8</v>
      </c>
      <c r="H32">
        <f>исходные!$BH$36</f>
        <v>1.06</v>
      </c>
      <c r="I32">
        <f>исходные!$BH$37</f>
        <v>0.46</v>
      </c>
      <c r="J32">
        <f>исходные!$BH$38</f>
        <v>1.302</v>
      </c>
      <c r="K32">
        <f>исходные!$BH$39</f>
        <v>1.1499999999999999</v>
      </c>
      <c r="L32">
        <f>исходные!$BH$40</f>
        <v>35</v>
      </c>
      <c r="M32">
        <f>исходные!$BH$41</f>
        <v>0.94</v>
      </c>
      <c r="N32" s="19">
        <f>исходные!$BH$42</f>
        <v>0</v>
      </c>
      <c r="O32" s="19" t="str">
        <f>исходные!$BH$44</f>
        <v>Рекомендуем при определении параметров для расчета нормативной стоимости:
1)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</v>
      </c>
      <c r="Q32">
        <f t="shared" si="0"/>
        <v>60</v>
      </c>
      <c r="S32" t="s">
        <v>116</v>
      </c>
      <c r="T32">
        <f>исходные!$BH$47</f>
        <v>0.54</v>
      </c>
    </row>
    <row r="33" spans="1:20" ht="15.4" hidden="1" customHeight="1" x14ac:dyDescent="0.25">
      <c r="A33" s="55"/>
      <c r="B33" t="str">
        <f>исходные!$BJ$4</f>
        <v>Советский</v>
      </c>
      <c r="C33" t="str">
        <f>исходные!$BJ$31</f>
        <v>-</v>
      </c>
      <c r="D33" t="str">
        <f>исходные!$BJ$32</f>
        <v>-</v>
      </c>
      <c r="E33" t="str">
        <f>исходные!$BJ$33</f>
        <v>-</v>
      </c>
      <c r="F33" t="str">
        <f>исходные!$BJ$34</f>
        <v>-</v>
      </c>
      <c r="G33" t="str">
        <f>исходные!$BJ$35</f>
        <v>-</v>
      </c>
      <c r="H33" t="str">
        <f>исходные!$BJ$36</f>
        <v>-</v>
      </c>
      <c r="I33" t="str">
        <f>исходные!$BJ$37</f>
        <v>-</v>
      </c>
      <c r="J33" t="str">
        <f>исходные!$BJ$38</f>
        <v>-</v>
      </c>
      <c r="K33" t="str">
        <f>исходные!$BJ$39</f>
        <v>-</v>
      </c>
      <c r="L33" t="str">
        <f>исходные!$BJ$40</f>
        <v>-</v>
      </c>
      <c r="M33" t="str">
        <f>исходные!$BJ$41</f>
        <v>-</v>
      </c>
      <c r="N33" s="19">
        <f>исходные!$BJ$42</f>
        <v>0</v>
      </c>
      <c r="O33" s="19" t="str">
        <f>исходные!$BJ$44</f>
        <v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ПК);
2) применять значение параметра полезного использования одного кабинета в неделю не по расчетному, а по фактическому значению (либо исходя из понимания нормальной загрузки кабинета для реализации общеразвивающих программ).</v>
      </c>
      <c r="Q33">
        <f t="shared" si="0"/>
        <v>62</v>
      </c>
      <c r="S33" t="s">
        <v>118</v>
      </c>
      <c r="T33" t="str">
        <f>исходные!$BJ$47</f>
        <v>-</v>
      </c>
    </row>
    <row r="34" spans="1:20" ht="15.4" hidden="1" customHeight="1" x14ac:dyDescent="0.25">
      <c r="A34" s="55"/>
      <c r="B34" t="str">
        <f>исходные!$BL$4</f>
        <v>Солонешенский</v>
      </c>
      <c r="C34" t="str">
        <f>исходные!$BL$31</f>
        <v>-</v>
      </c>
      <c r="D34" t="str">
        <f>исходные!$BL$32</f>
        <v>-</v>
      </c>
      <c r="E34" t="str">
        <f>исходные!$BL$33</f>
        <v>-</v>
      </c>
      <c r="F34" t="str">
        <f>исходные!$BL$34</f>
        <v>-</v>
      </c>
      <c r="G34" t="str">
        <f>исходные!$BL$35</f>
        <v>-</v>
      </c>
      <c r="H34" t="str">
        <f>исходные!$BL$36</f>
        <v>-</v>
      </c>
      <c r="I34" t="str">
        <f>исходные!$BL$37</f>
        <v>-</v>
      </c>
      <c r="J34" t="str">
        <f>исходные!$BL$38</f>
        <v>-</v>
      </c>
      <c r="K34" t="str">
        <f>исходные!$BL$39</f>
        <v>-</v>
      </c>
      <c r="L34" t="str">
        <f>исходные!$BL$40</f>
        <v>-</v>
      </c>
      <c r="M34" t="str">
        <f>исходные!$BL$41</f>
        <v>-</v>
      </c>
      <c r="N34" s="19">
        <f>исходные!$BL$42</f>
        <v>0</v>
      </c>
      <c r="O34" s="19" t="str">
        <f>исходные!$BL$44</f>
        <v>Рекомендуем при определении параметров для расчета нормативной стоимости:
1) пересмотреть значение параметра по базовой потребности в приобретении услуг (кроме ПК и медосмотров)(проверить, не включены ли разовые расходы, налоги на имущество, землю и т.п, расходы на средства обучения, транспортные расходы, расходы не за счет субсидии на муниципальное задание).</v>
      </c>
      <c r="Q34">
        <f t="shared" si="0"/>
        <v>64</v>
      </c>
      <c r="S34" t="s">
        <v>120</v>
      </c>
      <c r="T34" t="str">
        <f>исходные!$BL$47</f>
        <v>-</v>
      </c>
    </row>
    <row r="35" spans="1:20" ht="15.4" hidden="1" customHeight="1" x14ac:dyDescent="0.25">
      <c r="A35" s="55"/>
      <c r="B35" t="str">
        <f>исходные!$BN$4</f>
        <v>Третьяковский</v>
      </c>
      <c r="C35" t="str">
        <f>исходные!$BN$31</f>
        <v>-</v>
      </c>
      <c r="D35" t="str">
        <f>исходные!$BN$32</f>
        <v>-</v>
      </c>
      <c r="E35" t="str">
        <f>исходные!$BN$33</f>
        <v>-</v>
      </c>
      <c r="F35" t="str">
        <f>исходные!$BN$34</f>
        <v>-</v>
      </c>
      <c r="G35" t="str">
        <f>исходные!$BN$35</f>
        <v>-</v>
      </c>
      <c r="H35" t="str">
        <f>исходные!$BN$36</f>
        <v>-</v>
      </c>
      <c r="I35" t="str">
        <f>исходные!$BN$37</f>
        <v>-</v>
      </c>
      <c r="J35" t="str">
        <f>исходные!$BN$38</f>
        <v>-</v>
      </c>
      <c r="K35" t="str">
        <f>исходные!$BN$39</f>
        <v>-</v>
      </c>
      <c r="L35" t="str">
        <f>исходные!$BN$40</f>
        <v>-</v>
      </c>
      <c r="M35" t="str">
        <f>исходные!$BN$41</f>
        <v>-</v>
      </c>
      <c r="N35" s="19">
        <f>исходные!$BN$42</f>
        <v>0</v>
      </c>
      <c r="O35" s="19" t="str">
        <f>исходные!$BN$44</f>
        <v>Рекомендуем при определении параметров для расчета нормативной стоимости:
1) применять значение параметра полезного использования одного кабинета в неделю не по расчетному, а по фактическому значению (либо исходя из понимания нормальной загрузки кабинета для реализации общеразвивающих программ).</v>
      </c>
      <c r="Q35">
        <f t="shared" si="0"/>
        <v>66</v>
      </c>
      <c r="S35" t="s">
        <v>122</v>
      </c>
      <c r="T35" t="str">
        <f>исходные!$BN$47</f>
        <v>-</v>
      </c>
    </row>
    <row r="36" spans="1:20" ht="15.4" hidden="1" customHeight="1" x14ac:dyDescent="0.25">
      <c r="A36" s="55"/>
      <c r="B36" t="str">
        <f>исходные!$BP$4</f>
        <v>Тюменцевский</v>
      </c>
      <c r="C36" t="str">
        <f>исходные!$BP$31</f>
        <v>-</v>
      </c>
      <c r="D36" t="str">
        <f>исходные!$BP$32</f>
        <v>-</v>
      </c>
      <c r="E36" t="str">
        <f>исходные!$BP$33</f>
        <v>-</v>
      </c>
      <c r="F36" t="str">
        <f>исходные!$BP$34</f>
        <v>-</v>
      </c>
      <c r="G36" t="str">
        <f>исходные!$BP$35</f>
        <v>-</v>
      </c>
      <c r="H36" t="str">
        <f>исходные!$BP$36</f>
        <v>-</v>
      </c>
      <c r="I36" t="str">
        <f>исходные!$BP$37</f>
        <v>-</v>
      </c>
      <c r="J36" t="str">
        <f>исходные!$BP$38</f>
        <v>-</v>
      </c>
      <c r="K36" t="str">
        <f>исходные!$BP$39</f>
        <v>-</v>
      </c>
      <c r="L36" t="str">
        <f>исходные!$BP$40</f>
        <v>-</v>
      </c>
      <c r="M36" t="str">
        <f>исходные!$BP$41</f>
        <v>-</v>
      </c>
      <c r="N36" s="19">
        <f>исходные!$BP$42</f>
        <v>0</v>
      </c>
      <c r="O36" s="19" t="str">
        <f>исходные!$BP$44</f>
        <v>Рекомендуем при определении параметров для расчета нормативной стоимости:
1) пересмотреть значение коэффициента привлечения дополнительных педагогических работников (исключить ФОТ тех работников, которые не участвуют в обеспечении обучения);
2)применять значение коэффициента увеличения на прочий персонал в размере не более 0,5.</v>
      </c>
      <c r="Q36">
        <f t="shared" si="0"/>
        <v>68</v>
      </c>
      <c r="S36" t="s">
        <v>124</v>
      </c>
      <c r="T36" t="str">
        <f>исходные!$BP$47</f>
        <v>-</v>
      </c>
    </row>
    <row r="37" spans="1:20" ht="15.4" hidden="1" customHeight="1" x14ac:dyDescent="0.25">
      <c r="A37" s="55"/>
      <c r="B37" t="str">
        <f>исходные!$BR$4</f>
        <v>Усть-Калманский</v>
      </c>
      <c r="C37" t="str">
        <f>исходные!$BR$31</f>
        <v>-</v>
      </c>
      <c r="D37" t="str">
        <f>исходные!$BR$32</f>
        <v>-</v>
      </c>
      <c r="E37" t="str">
        <f>исходные!$BR$33</f>
        <v>-</v>
      </c>
      <c r="F37" t="str">
        <f>исходные!$BR$34</f>
        <v>-</v>
      </c>
      <c r="G37" t="str">
        <f>исходные!$BR$35</f>
        <v>-</v>
      </c>
      <c r="H37" t="str">
        <f>исходные!$BR$36</f>
        <v>-</v>
      </c>
      <c r="I37" t="str">
        <f>исходные!$BR$37</f>
        <v>-</v>
      </c>
      <c r="J37" t="str">
        <f>исходные!$BR$38</f>
        <v>-</v>
      </c>
      <c r="K37" t="str">
        <f>исходные!$BR$39</f>
        <v>-</v>
      </c>
      <c r="L37" t="str">
        <f>исходные!$BR$40</f>
        <v>-</v>
      </c>
      <c r="M37" t="str">
        <f>исходные!$BR$41</f>
        <v>-</v>
      </c>
      <c r="N37" s="19">
        <f>исходные!$BR$42</f>
        <v>0</v>
      </c>
      <c r="O37" s="19" t="str">
        <f>исходные!$BR$44</f>
        <v>Рекомендуем при определении параметров для расчета нормативной стоимости:
1) увеличить показатель по базовой потребности в приобретении услуг повышения квалификации (оцените объективно, сколько для вашего МО стоит обучить одного педагога на курсах ПК, значение низкое).</v>
      </c>
      <c r="Q37">
        <f t="shared" si="0"/>
        <v>70</v>
      </c>
      <c r="S37" t="s">
        <v>126</v>
      </c>
      <c r="T37" t="str">
        <f>исходные!$BR$47</f>
        <v>-</v>
      </c>
    </row>
    <row r="38" spans="1:20" ht="15.4" hidden="1" customHeight="1" x14ac:dyDescent="0.25">
      <c r="A38" s="55"/>
      <c r="B38" t="str">
        <f>исходные!$BT$4</f>
        <v>Хабарский</v>
      </c>
      <c r="C38" t="str">
        <f>исходные!$BT$31</f>
        <v>-</v>
      </c>
      <c r="D38" t="str">
        <f>исходные!$BT$32</f>
        <v>-</v>
      </c>
      <c r="E38" t="str">
        <f>исходные!$BT$33</f>
        <v>-</v>
      </c>
      <c r="F38" t="str">
        <f>исходные!$BT$34</f>
        <v>-</v>
      </c>
      <c r="G38" t="str">
        <f>исходные!$BT$35</f>
        <v>-</v>
      </c>
      <c r="H38" t="str">
        <f>исходные!$BT$36</f>
        <v>-</v>
      </c>
      <c r="I38" t="str">
        <f>исходные!$BT$37</f>
        <v>-</v>
      </c>
      <c r="J38" t="str">
        <f>исходные!$BT$38</f>
        <v>-</v>
      </c>
      <c r="K38" t="str">
        <f>исходные!$BT$39</f>
        <v>-</v>
      </c>
      <c r="L38" t="str">
        <f>исходные!$BT$40</f>
        <v>-</v>
      </c>
      <c r="M38" t="str">
        <f>исходные!$BT$41</f>
        <v>-</v>
      </c>
      <c r="N38" s="19">
        <f>исходные!$BT$42</f>
        <v>0</v>
      </c>
      <c r="O38" s="19" t="str">
        <f>исходные!$BT$44</f>
        <v>Рекомендуем при определении параметров для расчета нормативной стоимости:
1) пересмотреть значение коэффициента привлечения дополнительных педагогических работников (не учитывать при рачете ФОТ прочих педагогических работников, которые не принимают участия в обеспечении занятий);
2) 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программ).</v>
      </c>
      <c r="Q38">
        <f t="shared" si="0"/>
        <v>72</v>
      </c>
      <c r="S38" t="s">
        <v>128</v>
      </c>
      <c r="T38" t="str">
        <f>исходные!$BT$47</f>
        <v>-</v>
      </c>
    </row>
    <row r="39" spans="1:20" ht="15.4" hidden="1" customHeight="1" x14ac:dyDescent="0.25">
      <c r="A39" s="55"/>
      <c r="B39" t="str">
        <f>исходные!$BV$4</f>
        <v>Целинный</v>
      </c>
      <c r="C39" t="str">
        <f>исходные!$BV$31</f>
        <v>-</v>
      </c>
      <c r="D39" t="str">
        <f>исходные!$BV$32</f>
        <v>-</v>
      </c>
      <c r="E39" t="str">
        <f>исходные!$BV$33</f>
        <v>-</v>
      </c>
      <c r="F39" t="str">
        <f>исходные!$BV$34</f>
        <v>-</v>
      </c>
      <c r="G39" t="str">
        <f>исходные!$BV$35</f>
        <v>-</v>
      </c>
      <c r="H39" t="str">
        <f>исходные!$BV$36</f>
        <v>-</v>
      </c>
      <c r="I39" t="str">
        <f>исходные!$BV$37</f>
        <v>-</v>
      </c>
      <c r="J39" t="str">
        <f>исходные!$BV$38</f>
        <v>-</v>
      </c>
      <c r="K39" t="str">
        <f>исходные!$BV$39</f>
        <v>-</v>
      </c>
      <c r="L39" t="str">
        <f>исходные!$BV$40</f>
        <v>-</v>
      </c>
      <c r="M39" t="str">
        <f>исходные!$BV$41</f>
        <v>-</v>
      </c>
      <c r="N39" s="19">
        <f>исходные!$BV$42</f>
        <v>0</v>
      </c>
      <c r="O39" s="19" t="str">
        <f>исходные!$BV$44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39">
        <f t="shared" si="0"/>
        <v>74</v>
      </c>
      <c r="S39" t="s">
        <v>130</v>
      </c>
      <c r="T39" t="str">
        <f>исходные!$BV$47</f>
        <v>-</v>
      </c>
    </row>
    <row r="40" spans="1:20" ht="15.4" hidden="1" customHeight="1" x14ac:dyDescent="0.25">
      <c r="A40" s="55"/>
      <c r="B40" t="str">
        <f>исходные!$BX$4</f>
        <v>Чарышский</v>
      </c>
      <c r="C40" t="str">
        <f>исходные!$BX$31</f>
        <v>-</v>
      </c>
      <c r="D40" t="str">
        <f>исходные!$BX$32</f>
        <v>-</v>
      </c>
      <c r="E40" t="str">
        <f>исходные!$BX$33</f>
        <v>-</v>
      </c>
      <c r="F40" t="str">
        <f>исходные!$BX$34</f>
        <v>-</v>
      </c>
      <c r="G40" t="str">
        <f>исходные!$BX$35</f>
        <v>-</v>
      </c>
      <c r="H40" t="str">
        <f>исходные!$BX$36</f>
        <v>-</v>
      </c>
      <c r="I40" t="str">
        <f>исходные!$BX$37</f>
        <v>-</v>
      </c>
      <c r="J40" t="str">
        <f>исходные!$BX$38</f>
        <v>-</v>
      </c>
      <c r="K40" t="str">
        <f>исходные!$BX$39</f>
        <v>-</v>
      </c>
      <c r="L40" t="str">
        <f>исходные!$BX$40</f>
        <v>-</v>
      </c>
      <c r="M40" t="str">
        <f>исходные!$BX$41</f>
        <v>-</v>
      </c>
      <c r="N40" s="19">
        <f>исходные!$BX$42</f>
        <v>0</v>
      </c>
      <c r="O40" s="19" t="str">
        <f>исходные!$BX$44</f>
        <v>Параметры могут быть использованы для принятия на уровне муниципалитета в целях расчета нормативной стоимости образовательных услуг</v>
      </c>
      <c r="Q40">
        <f t="shared" si="0"/>
        <v>76</v>
      </c>
      <c r="S40" t="s">
        <v>132</v>
      </c>
      <c r="T40" t="str">
        <f>исходные!$BX$47</f>
        <v>-</v>
      </c>
    </row>
    <row r="41" spans="1:20" ht="15.4" hidden="1" customHeight="1" x14ac:dyDescent="0.25">
      <c r="A41" s="55"/>
      <c r="B41" t="str">
        <f>исходные!$BZ$4</f>
        <v>Яровое</v>
      </c>
      <c r="C41">
        <f>исходные!$BZ$31</f>
        <v>2.0499999999999998</v>
      </c>
      <c r="D41">
        <f>исходные!$BZ$32</f>
        <v>2.54</v>
      </c>
      <c r="E41">
        <f>исходные!$BZ$33</f>
        <v>12.9</v>
      </c>
      <c r="F41">
        <f>исходные!$BZ$34</f>
        <v>1.5</v>
      </c>
      <c r="G41">
        <f>исходные!$BZ$35</f>
        <v>26.9</v>
      </c>
      <c r="H41">
        <f>исходные!$BZ$36</f>
        <v>1.1299999999999999</v>
      </c>
      <c r="I41">
        <f>исходные!$BZ$37</f>
        <v>0.92</v>
      </c>
      <c r="J41">
        <f>исходные!$BZ$38</f>
        <v>1.302</v>
      </c>
      <c r="K41">
        <f>исходные!$BZ$39</f>
        <v>1.1499999999999999</v>
      </c>
      <c r="L41">
        <f>исходные!$BZ$40</f>
        <v>11</v>
      </c>
      <c r="M41">
        <f>исходные!$BZ$41</f>
        <v>0.81</v>
      </c>
      <c r="N41" s="19">
        <f>исходные!$BZ$42</f>
        <v>0</v>
      </c>
      <c r="O41" s="19" t="str">
        <f>исходные!$BZ$44</f>
        <v xml:space="preserve">Рекомендуем при определении параметров для расчета нормативной стоимости:
1) применять значение коэффициента увеличения на прочий персонал в размере не более 0,5;
2)  применять значение параметра полезного использования одного кабинета в неделю не по расчетному, а по среднему фактическому значению (либо исходя из понимания нормальной загрузки кабинета для реализации общеразвивающих программ);
3) использовать значение параметра по среднему количеству ставок на одного педагога в размере не менее 1,0  (поскольку целевую з/п, скорее всего, вы обеспечиваете не менее, чем за ставку).
</v>
      </c>
      <c r="Q41">
        <f t="shared" si="0"/>
        <v>78</v>
      </c>
      <c r="S41" t="s">
        <v>134</v>
      </c>
      <c r="T41">
        <f>исходные!$BZ$47</f>
        <v>1.49</v>
      </c>
    </row>
    <row r="42" spans="1:20" ht="15.4" hidden="1" customHeight="1" x14ac:dyDescent="0.25">
      <c r="A42" s="55"/>
      <c r="B42">
        <f>исходные!$CB$4</f>
        <v>0</v>
      </c>
      <c r="C42" t="str">
        <f>исходные!$CB$31</f>
        <v>-</v>
      </c>
      <c r="D42" t="str">
        <f>исходные!$CB$32</f>
        <v>-</v>
      </c>
      <c r="E42" t="str">
        <f>исходные!$CB$33</f>
        <v>-</v>
      </c>
      <c r="F42" t="str">
        <f>исходные!$CB$34</f>
        <v>-</v>
      </c>
      <c r="G42" t="str">
        <f>исходные!$CB$35</f>
        <v>-</v>
      </c>
      <c r="H42" t="str">
        <f>исходные!$CB$36</f>
        <v>-</v>
      </c>
      <c r="I42" t="str">
        <f>исходные!$CB$37</f>
        <v>-</v>
      </c>
      <c r="J42" t="str">
        <f>исходные!$CB$38</f>
        <v>-</v>
      </c>
      <c r="K42" t="str">
        <f>исходные!$CB$39</f>
        <v>-</v>
      </c>
      <c r="L42" t="str">
        <f>исходные!$CB$40</f>
        <v>-</v>
      </c>
      <c r="M42" t="str">
        <f>исходные!$CB$41</f>
        <v>-</v>
      </c>
      <c r="N42" s="19">
        <f>исходные!$CB$42</f>
        <v>0</v>
      </c>
      <c r="O42" s="19">
        <f>исходные!$CB$44</f>
        <v>0</v>
      </c>
      <c r="Q42">
        <f t="shared" si="0"/>
        <v>80</v>
      </c>
      <c r="S42" t="s">
        <v>136</v>
      </c>
      <c r="T42" t="str">
        <f>исходные!$CB$47</f>
        <v>-</v>
      </c>
    </row>
    <row r="43" spans="1:20" ht="15.4" hidden="1" customHeight="1" x14ac:dyDescent="0.25">
      <c r="A43" s="55"/>
      <c r="B43">
        <f>исходные!$CD$4</f>
        <v>0</v>
      </c>
      <c r="C43" t="str">
        <f>исходные!$CD$31</f>
        <v>-</v>
      </c>
      <c r="D43" t="str">
        <f>исходные!$CD$32</f>
        <v>-</v>
      </c>
      <c r="E43" t="str">
        <f>исходные!$CD$33</f>
        <v>-</v>
      </c>
      <c r="F43" t="str">
        <f>исходные!$CD$34</f>
        <v>-</v>
      </c>
      <c r="G43" t="str">
        <f>исходные!$CD$35</f>
        <v>-</v>
      </c>
      <c r="H43" t="str">
        <f>исходные!$CD$36</f>
        <v>-</v>
      </c>
      <c r="I43" t="str">
        <f>исходные!$CD$37</f>
        <v>-</v>
      </c>
      <c r="J43" t="str">
        <f>исходные!$CD$38</f>
        <v>-</v>
      </c>
      <c r="K43" t="str">
        <f>исходные!$CD$39</f>
        <v>-</v>
      </c>
      <c r="L43" t="str">
        <f>исходные!$CD$40</f>
        <v>-</v>
      </c>
      <c r="M43" t="str">
        <f>исходные!$CD$41</f>
        <v>-</v>
      </c>
      <c r="N43" s="19">
        <f>исходные!$CD$42</f>
        <v>0</v>
      </c>
      <c r="O43" s="19">
        <f>исходные!$CD$44</f>
        <v>0</v>
      </c>
      <c r="Q43">
        <f t="shared" si="0"/>
        <v>82</v>
      </c>
      <c r="S43" t="s">
        <v>138</v>
      </c>
      <c r="T43" t="str">
        <f>исходные!$CD$47</f>
        <v>-</v>
      </c>
    </row>
    <row r="44" spans="1:20" ht="15.4" hidden="1" customHeight="1" x14ac:dyDescent="0.25">
      <c r="A44" s="55"/>
      <c r="B44">
        <f>исходные!$CF$4</f>
        <v>0</v>
      </c>
      <c r="C44">
        <f>исходные!$CF$31</f>
        <v>0</v>
      </c>
      <c r="D44">
        <f>исходные!$CF$32</f>
        <v>0</v>
      </c>
      <c r="E44">
        <f>исходные!$CF$33</f>
        <v>0</v>
      </c>
      <c r="F44">
        <f>исходные!$CF$34</f>
        <v>0</v>
      </c>
      <c r="G44">
        <f>исходные!$CF$35</f>
        <v>0</v>
      </c>
      <c r="H44">
        <f>исходные!$CF$36</f>
        <v>0</v>
      </c>
      <c r="I44">
        <f>исходные!$CF$37</f>
        <v>0</v>
      </c>
      <c r="J44">
        <f>исходные!$CF$38</f>
        <v>0</v>
      </c>
      <c r="K44">
        <f>исходные!$CF$39</f>
        <v>0</v>
      </c>
      <c r="L44">
        <f>исходные!$CF$40</f>
        <v>0</v>
      </c>
      <c r="M44">
        <f>исходные!$CF$41</f>
        <v>0</v>
      </c>
      <c r="N44" s="19">
        <f>исходные!$CF$42</f>
        <v>0</v>
      </c>
      <c r="O44" s="19">
        <f>исходные!$CF$44</f>
        <v>0</v>
      </c>
      <c r="Q44">
        <f t="shared" si="0"/>
        <v>84</v>
      </c>
      <c r="S44" t="s">
        <v>140</v>
      </c>
      <c r="T44">
        <f>исходные!$CF$47</f>
        <v>0</v>
      </c>
    </row>
    <row r="45" spans="1:20" ht="15.4" hidden="1" customHeight="1" x14ac:dyDescent="0.25">
      <c r="A45" s="55"/>
      <c r="B45">
        <f>исходные!$CH$4</f>
        <v>0</v>
      </c>
      <c r="C45">
        <f>исходные!$CH$31</f>
        <v>0</v>
      </c>
      <c r="D45">
        <f>исходные!$CH$32</f>
        <v>0</v>
      </c>
      <c r="E45">
        <f>исходные!$CH$33</f>
        <v>0</v>
      </c>
      <c r="F45">
        <f>исходные!$CH$34</f>
        <v>0</v>
      </c>
      <c r="G45">
        <f>исходные!$CH$35</f>
        <v>0</v>
      </c>
      <c r="H45">
        <f>исходные!$CH$36</f>
        <v>0</v>
      </c>
      <c r="I45">
        <f>исходные!$CH$37</f>
        <v>0</v>
      </c>
      <c r="J45">
        <f>исходные!$CH$38</f>
        <v>0</v>
      </c>
      <c r="K45">
        <f>исходные!$CH$39</f>
        <v>0</v>
      </c>
      <c r="L45">
        <f>исходные!$CH$40</f>
        <v>0</v>
      </c>
      <c r="M45">
        <f>исходные!$CH$41</f>
        <v>0</v>
      </c>
      <c r="N45" s="19">
        <f>исходные!$CH$42</f>
        <v>0</v>
      </c>
      <c r="O45" s="19">
        <f>исходные!$CH$44</f>
        <v>0</v>
      </c>
      <c r="Q45">
        <f t="shared" si="0"/>
        <v>86</v>
      </c>
      <c r="S45" t="s">
        <v>142</v>
      </c>
      <c r="T45">
        <f>исходные!$CH$47</f>
        <v>0</v>
      </c>
    </row>
    <row r="46" spans="1:20" ht="15.4" hidden="1" customHeight="1" x14ac:dyDescent="0.25">
      <c r="A46" s="55"/>
      <c r="B46">
        <f>исходные!$CJ$4</f>
        <v>0</v>
      </c>
      <c r="C46">
        <f>исходные!$CJ$31</f>
        <v>0</v>
      </c>
      <c r="D46">
        <f>исходные!$CJ$32</f>
        <v>0</v>
      </c>
      <c r="E46">
        <f>исходные!$CJ$33</f>
        <v>0</v>
      </c>
      <c r="F46">
        <f>исходные!$CJ$34</f>
        <v>0</v>
      </c>
      <c r="G46">
        <f>исходные!$CJ$35</f>
        <v>0</v>
      </c>
      <c r="H46">
        <f>исходные!$CJ$36</f>
        <v>0</v>
      </c>
      <c r="I46">
        <f>исходные!$CJ$37</f>
        <v>0</v>
      </c>
      <c r="J46">
        <f>исходные!$CJ$38</f>
        <v>0</v>
      </c>
      <c r="K46">
        <f>исходные!$CJ$39</f>
        <v>0</v>
      </c>
      <c r="L46">
        <f>исходные!$CJ$40</f>
        <v>0</v>
      </c>
      <c r="M46">
        <f>исходные!$CJ$41</f>
        <v>0</v>
      </c>
      <c r="N46" s="19">
        <f>исходные!$CJ$42</f>
        <v>0</v>
      </c>
      <c r="O46" s="19">
        <f>исходные!$CJ$44</f>
        <v>0</v>
      </c>
      <c r="Q46">
        <f t="shared" si="0"/>
        <v>88</v>
      </c>
      <c r="S46" t="s">
        <v>144</v>
      </c>
      <c r="T46">
        <f>исходные!$CJ$47</f>
        <v>0</v>
      </c>
    </row>
    <row r="47" spans="1:20" ht="15.4" hidden="1" customHeight="1" x14ac:dyDescent="0.25">
      <c r="A47" s="55" t="s">
        <v>147</v>
      </c>
      <c r="B47" t="str">
        <f>исходные!$D$4</f>
        <v>Алейск</v>
      </c>
      <c r="C47" t="str">
        <f>исходные!$E$31</f>
        <v>-</v>
      </c>
      <c r="D47" t="str">
        <f>исходные!$E$32</f>
        <v>-</v>
      </c>
      <c r="E47" t="str">
        <f>исходные!$E$33</f>
        <v>-</v>
      </c>
      <c r="F47" t="str">
        <f>исходные!$E$34</f>
        <v>-</v>
      </c>
      <c r="G47" s="19" t="str">
        <f>исходные!$E$35</f>
        <v>-</v>
      </c>
      <c r="H47" t="str">
        <f>исходные!$E$36</f>
        <v>-</v>
      </c>
      <c r="I47" t="str">
        <f>исходные!$E$37</f>
        <v>-</v>
      </c>
      <c r="J47" t="str">
        <f>исходные!$E$38</f>
        <v>-</v>
      </c>
      <c r="K47" t="str">
        <f>исходные!$E$39</f>
        <v>-</v>
      </c>
      <c r="L47" s="19" t="str">
        <f>исходные!$E$40</f>
        <v>-</v>
      </c>
      <c r="M47" s="19" t="str">
        <f>исходные!$E$41</f>
        <v>-</v>
      </c>
      <c r="N47" s="19">
        <f>исходные!$E$42</f>
        <v>0</v>
      </c>
      <c r="O47" s="19">
        <f>исходные!$E$44</f>
        <v>0</v>
      </c>
      <c r="P47" s="19"/>
      <c r="Q47">
        <f>5</f>
        <v>5</v>
      </c>
      <c r="S47" t="s">
        <v>145</v>
      </c>
      <c r="T47" t="str">
        <f>исходные!$E$47</f>
        <v>-</v>
      </c>
    </row>
    <row r="48" spans="1:20" ht="15.4" hidden="1" customHeight="1" x14ac:dyDescent="0.25">
      <c r="A48" s="55"/>
      <c r="B48" t="str">
        <f>исходные!$F$4</f>
        <v>Алтайский</v>
      </c>
      <c r="C48">
        <f>исходные!$G$31</f>
        <v>1.76</v>
      </c>
      <c r="D48">
        <f>исходные!$G$32</f>
        <v>2.2599999999999998</v>
      </c>
      <c r="E48">
        <f>исходные!$G$33</f>
        <v>9.5</v>
      </c>
      <c r="F48">
        <f>исходные!$G$34</f>
        <v>3.5</v>
      </c>
      <c r="G48" s="19">
        <f>исходные!$G$35</f>
        <v>23.91</v>
      </c>
      <c r="H48">
        <f>исходные!$G$36</f>
        <v>1</v>
      </c>
      <c r="I48">
        <f>исходные!$G$37</f>
        <v>0.6</v>
      </c>
      <c r="J48">
        <f>исходные!$G$38</f>
        <v>1.302</v>
      </c>
      <c r="K48">
        <f>исходные!$G$39</f>
        <v>1.1499999999999999</v>
      </c>
      <c r="L48" s="19">
        <f>исходные!$G$40</f>
        <v>24</v>
      </c>
      <c r="M48" s="19">
        <f>исходные!$G$41</f>
        <v>1.28</v>
      </c>
      <c r="N48" s="19">
        <f>исходные!$G$42</f>
        <v>0</v>
      </c>
      <c r="O48" s="19"/>
      <c r="P48" s="19"/>
      <c r="Q48">
        <f>Q47+2</f>
        <v>7</v>
      </c>
      <c r="S48" s="18" t="s">
        <v>63</v>
      </c>
      <c r="T48">
        <f>исходные!$G$47</f>
        <v>0.94</v>
      </c>
    </row>
    <row r="49" spans="1:20" ht="15.4" hidden="1" customHeight="1" x14ac:dyDescent="0.25">
      <c r="A49" s="55"/>
      <c r="B49" t="str">
        <f>исходные!$H$4</f>
        <v>Барнаул</v>
      </c>
      <c r="C49">
        <f>исходные!$I$31</f>
        <v>3.25</v>
      </c>
      <c r="D49">
        <f>исходные!$I$32</f>
        <v>3.61</v>
      </c>
      <c r="E49">
        <f>исходные!$I$33</f>
        <v>2.6</v>
      </c>
      <c r="F49">
        <f>исходные!$I$34</f>
        <v>0.9</v>
      </c>
      <c r="G49" s="19">
        <f>исходные!$I$35</f>
        <v>31.8</v>
      </c>
      <c r="H49">
        <f>исходные!$I$36</f>
        <v>1.21</v>
      </c>
      <c r="I49">
        <f>исходные!$I$37</f>
        <v>0.5</v>
      </c>
      <c r="J49">
        <f>исходные!$I$38</f>
        <v>1.302</v>
      </c>
      <c r="K49">
        <f>исходные!$I$39</f>
        <v>1.1499999999999999</v>
      </c>
      <c r="L49" s="19">
        <f>исходные!$I$40</f>
        <v>56</v>
      </c>
      <c r="M49" s="19">
        <f>исходные!$I$41</f>
        <v>1.75</v>
      </c>
      <c r="N49" s="19">
        <f>исходные!$I$42</f>
        <v>0</v>
      </c>
      <c r="O49" s="19"/>
      <c r="P49" s="19"/>
      <c r="Q49">
        <f t="shared" ref="Q49:Q88" si="1">Q48+2</f>
        <v>9</v>
      </c>
      <c r="S49" s="18" t="s">
        <v>65</v>
      </c>
      <c r="T49">
        <f>исходные!$I$47</f>
        <v>1.62</v>
      </c>
    </row>
    <row r="50" spans="1:20" ht="15.4" hidden="1" customHeight="1" x14ac:dyDescent="0.25">
      <c r="A50" s="55"/>
      <c r="B50" t="str">
        <f>исходные!$J$4</f>
        <v>Баевский</v>
      </c>
      <c r="C50">
        <f>исходные!$K$31</f>
        <v>5.34</v>
      </c>
      <c r="D50">
        <f>исходные!$K$32</f>
        <v>7.29</v>
      </c>
      <c r="E50">
        <f>исходные!$K$33</f>
        <v>4.2</v>
      </c>
      <c r="F50">
        <f>исходные!$K$34</f>
        <v>2.2999999999999998</v>
      </c>
      <c r="G50" s="19">
        <f>исходные!$K$35</f>
        <v>23.3</v>
      </c>
      <c r="H50">
        <f>исходные!$K$36</f>
        <v>1.1299999999999999</v>
      </c>
      <c r="I50">
        <f>исходные!$K$37</f>
        <v>0.75</v>
      </c>
      <c r="J50">
        <f>исходные!$K$38</f>
        <v>1.302</v>
      </c>
      <c r="K50">
        <f>исходные!$K$39</f>
        <v>1.1499999999999999</v>
      </c>
      <c r="L50" s="19">
        <f>исходные!$K$40</f>
        <v>14</v>
      </c>
      <c r="M50" s="19">
        <f>исходные!$K$41</f>
        <v>1.3</v>
      </c>
      <c r="N50" s="19">
        <f>исходные!$K$42</f>
        <v>0</v>
      </c>
      <c r="O50" s="19"/>
      <c r="P50" s="19"/>
      <c r="Q50">
        <f t="shared" si="1"/>
        <v>11</v>
      </c>
      <c r="S50" s="18" t="s">
        <v>67</v>
      </c>
      <c r="T50">
        <f>исходные!$K$47</f>
        <v>1.9</v>
      </c>
    </row>
    <row r="51" spans="1:20" ht="15.4" hidden="1" customHeight="1" x14ac:dyDescent="0.25">
      <c r="A51" s="55"/>
      <c r="B51" t="str">
        <f>исходные!$L$4</f>
        <v>Белокуриха</v>
      </c>
      <c r="C51" t="str">
        <f>исходные!$M$31</f>
        <v>-</v>
      </c>
      <c r="D51" t="str">
        <f>исходные!$M$32</f>
        <v>-</v>
      </c>
      <c r="E51" t="str">
        <f>исходные!$M$33</f>
        <v>-</v>
      </c>
      <c r="F51" t="str">
        <f>исходные!$M$34</f>
        <v>-</v>
      </c>
      <c r="G51" s="19" t="str">
        <f>исходные!$M$35</f>
        <v>-</v>
      </c>
      <c r="H51" t="str">
        <f>исходные!$M$36</f>
        <v>-</v>
      </c>
      <c r="I51" t="str">
        <f>исходные!$M$37</f>
        <v>-</v>
      </c>
      <c r="J51" t="str">
        <f>исходные!$M$38</f>
        <v>-</v>
      </c>
      <c r="K51" t="str">
        <f>исходные!$M$39</f>
        <v>-</v>
      </c>
      <c r="L51" s="19" t="str">
        <f>исходные!$M$40</f>
        <v>-</v>
      </c>
      <c r="M51" s="19" t="str">
        <f>исходные!$M$41</f>
        <v>-</v>
      </c>
      <c r="N51" s="19">
        <f>исходные!$M$42</f>
        <v>0</v>
      </c>
      <c r="O51" s="19"/>
      <c r="P51" s="19"/>
      <c r="Q51">
        <f t="shared" si="1"/>
        <v>13</v>
      </c>
      <c r="S51" s="18" t="s">
        <v>69</v>
      </c>
      <c r="T51" t="str">
        <f>исходные!$M$47</f>
        <v>-</v>
      </c>
    </row>
    <row r="52" spans="1:20" ht="15.4" hidden="1" customHeight="1" x14ac:dyDescent="0.25">
      <c r="A52" s="55"/>
      <c r="B52" t="str">
        <f>исходные!$N$4</f>
        <v>Бийск</v>
      </c>
      <c r="C52" t="str">
        <f>исходные!$O$31</f>
        <v>-</v>
      </c>
      <c r="D52" t="str">
        <f>исходные!$O$32</f>
        <v>-</v>
      </c>
      <c r="E52" t="str">
        <f>исходные!$O$33</f>
        <v>-</v>
      </c>
      <c r="F52" t="str">
        <f>исходные!$O$34</f>
        <v>-</v>
      </c>
      <c r="G52" s="19" t="str">
        <f>исходные!$O$35</f>
        <v>-</v>
      </c>
      <c r="H52" t="str">
        <f>исходные!$O$36</f>
        <v>-</v>
      </c>
      <c r="I52" t="str">
        <f>исходные!$O$37</f>
        <v>-</v>
      </c>
      <c r="J52" t="str">
        <f>исходные!$O$38</f>
        <v>-</v>
      </c>
      <c r="K52" t="str">
        <f>исходные!$O$39</f>
        <v>-</v>
      </c>
      <c r="L52" s="19" t="str">
        <f>исходные!$O$40</f>
        <v>-</v>
      </c>
      <c r="M52" s="19" t="str">
        <f>исходные!$O$41</f>
        <v>-</v>
      </c>
      <c r="N52" s="19">
        <f>исходные!$O$42</f>
        <v>0</v>
      </c>
      <c r="O52" s="19"/>
      <c r="P52" s="19"/>
      <c r="Q52">
        <f t="shared" si="1"/>
        <v>15</v>
      </c>
      <c r="S52" s="18" t="s">
        <v>71</v>
      </c>
      <c r="T52" t="str">
        <f>исходные!$O$47</f>
        <v>-</v>
      </c>
    </row>
    <row r="53" spans="1:20" ht="15.4" hidden="1" customHeight="1" x14ac:dyDescent="0.25">
      <c r="A53" s="55"/>
      <c r="B53" t="str">
        <f>исходные!$P$4</f>
        <v>Бийский</v>
      </c>
      <c r="C53" t="str">
        <f>исходные!$Q$31</f>
        <v>-</v>
      </c>
      <c r="D53" t="str">
        <f>исходные!$Q$32</f>
        <v>-</v>
      </c>
      <c r="E53">
        <f>исходные!$Q$33</f>
        <v>10.4</v>
      </c>
      <c r="F53">
        <f>исходные!$Q$34</f>
        <v>3.9</v>
      </c>
      <c r="G53" s="19">
        <f>исходные!$Q$35</f>
        <v>25.5</v>
      </c>
      <c r="H53">
        <f>исходные!$Q$36</f>
        <v>1.19</v>
      </c>
      <c r="I53">
        <f>исходные!$Q$37</f>
        <v>0.16</v>
      </c>
      <c r="J53">
        <f>исходные!$Q$38</f>
        <v>1.302</v>
      </c>
      <c r="K53" t="str">
        <f>исходные!$Q$39</f>
        <v>-</v>
      </c>
      <c r="L53" s="19" t="str">
        <f>исходные!$Q$40</f>
        <v>-</v>
      </c>
      <c r="M53" s="19">
        <f>исходные!$Q$41</f>
        <v>0.88</v>
      </c>
      <c r="N53" s="19">
        <f>исходные!$Q$42</f>
        <v>0</v>
      </c>
      <c r="O53" s="19"/>
      <c r="P53" s="19"/>
      <c r="Q53">
        <f t="shared" si="1"/>
        <v>17</v>
      </c>
      <c r="S53" s="18" t="s">
        <v>73</v>
      </c>
      <c r="T53" t="str">
        <f>исходные!$Q$47</f>
        <v>-</v>
      </c>
    </row>
    <row r="54" spans="1:20" ht="15.4" hidden="1" customHeight="1" x14ac:dyDescent="0.25">
      <c r="A54" s="55"/>
      <c r="B54" t="str">
        <f>исходные!$R$4</f>
        <v>Благовещенский</v>
      </c>
      <c r="C54">
        <f>исходные!$S$31</f>
        <v>1.45</v>
      </c>
      <c r="D54">
        <f>исходные!$S$32</f>
        <v>2.42</v>
      </c>
      <c r="E54">
        <f>исходные!$S$33</f>
        <v>7.2</v>
      </c>
      <c r="F54">
        <f>исходные!$S$34</f>
        <v>3.6</v>
      </c>
      <c r="G54" s="19">
        <f>исходные!$S$35</f>
        <v>26.5</v>
      </c>
      <c r="H54">
        <f>исходные!$S$36</f>
        <v>1.05</v>
      </c>
      <c r="I54">
        <f>исходные!$S$37</f>
        <v>0.19</v>
      </c>
      <c r="J54">
        <f>исходные!$S$38</f>
        <v>1.302</v>
      </c>
      <c r="K54">
        <f>исходные!$S$39</f>
        <v>1.1499999999999999</v>
      </c>
      <c r="L54" s="19">
        <f>исходные!$S$40</f>
        <v>36</v>
      </c>
      <c r="M54" s="19">
        <f>исходные!$S$41</f>
        <v>1.29</v>
      </c>
      <c r="N54" s="19">
        <f>исходные!$S$42</f>
        <v>0</v>
      </c>
      <c r="O54" s="19"/>
      <c r="P54" s="19"/>
      <c r="Q54">
        <f t="shared" si="1"/>
        <v>19</v>
      </c>
      <c r="S54" s="18" t="s">
        <v>75</v>
      </c>
      <c r="T54">
        <f>исходные!$S$47</f>
        <v>0.46</v>
      </c>
    </row>
    <row r="55" spans="1:20" ht="15.4" hidden="1" customHeight="1" x14ac:dyDescent="0.25">
      <c r="A55" s="55"/>
      <c r="B55" t="str">
        <f>исходные!$T$4</f>
        <v>Быстроистокский</v>
      </c>
      <c r="C55">
        <f>исходные!$U$31</f>
        <v>13.31</v>
      </c>
      <c r="D55">
        <f>исходные!$U$32</f>
        <v>15.18</v>
      </c>
      <c r="E55">
        <f>исходные!$U$33</f>
        <v>3</v>
      </c>
      <c r="F55">
        <f>исходные!$U$34</f>
        <v>4</v>
      </c>
      <c r="G55" s="19">
        <f>исходные!$U$35</f>
        <v>43.310400000000001</v>
      </c>
      <c r="H55">
        <f>исходные!$U$36</f>
        <v>1.1200000000000001</v>
      </c>
      <c r="I55">
        <f>исходные!$U$37</f>
        <v>0.16</v>
      </c>
      <c r="J55">
        <f>исходные!$U$38</f>
        <v>1.302</v>
      </c>
      <c r="K55">
        <f>исходные!$U$39</f>
        <v>1.1499999999999999</v>
      </c>
      <c r="L55" s="19">
        <f>исходные!$U$40</f>
        <v>11</v>
      </c>
      <c r="M55" s="19">
        <f>исходные!$U$41</f>
        <v>0.67</v>
      </c>
      <c r="N55" s="19">
        <f>исходные!$U$42</f>
        <v>0</v>
      </c>
      <c r="O55" s="19"/>
      <c r="P55" s="19"/>
      <c r="Q55">
        <f t="shared" si="1"/>
        <v>21</v>
      </c>
      <c r="S55" s="18" t="s">
        <v>77</v>
      </c>
      <c r="T55">
        <f>исходные!$U$47</f>
        <v>12.09</v>
      </c>
    </row>
    <row r="56" spans="1:20" ht="15.4" hidden="1" customHeight="1" x14ac:dyDescent="0.25">
      <c r="A56" s="55"/>
      <c r="B56" t="str">
        <f>исходные!$V$4</f>
        <v>Зявьяловский</v>
      </c>
      <c r="C56">
        <f>исходные!$W$31</f>
        <v>1.2</v>
      </c>
      <c r="D56">
        <f>исходные!$W$32</f>
        <v>1.75</v>
      </c>
      <c r="E56">
        <f>исходные!$W$33</f>
        <v>6</v>
      </c>
      <c r="F56">
        <f>исходные!$W$34</f>
        <v>4</v>
      </c>
      <c r="G56" s="19">
        <f>исходные!$W$35</f>
        <v>24.5</v>
      </c>
      <c r="H56">
        <f>исходные!$W$36</f>
        <v>1.02</v>
      </c>
      <c r="I56">
        <f>исходные!$W$37</f>
        <v>0.48</v>
      </c>
      <c r="J56">
        <f>исходные!$W$38</f>
        <v>1.302</v>
      </c>
      <c r="K56">
        <f>исходные!$W$39</f>
        <v>1.2</v>
      </c>
      <c r="L56" s="19">
        <f>исходные!$W$40</f>
        <v>29</v>
      </c>
      <c r="M56" s="19">
        <f>исходные!$W$41</f>
        <v>1.3</v>
      </c>
      <c r="N56" s="19">
        <f>исходные!$W$42</f>
        <v>0</v>
      </c>
      <c r="O56" s="19"/>
      <c r="P56" s="19"/>
      <c r="Q56">
        <f t="shared" si="1"/>
        <v>23</v>
      </c>
      <c r="S56" s="18" t="s">
        <v>79</v>
      </c>
      <c r="T56">
        <f>исходные!$W$47</f>
        <v>0.6</v>
      </c>
    </row>
    <row r="57" spans="1:20" ht="15.4" hidden="1" customHeight="1" x14ac:dyDescent="0.25">
      <c r="A57" s="55"/>
      <c r="B57" t="str">
        <f>исходные!$X$4</f>
        <v>Заринск</v>
      </c>
      <c r="C57" t="str">
        <f>исходные!$Y$31</f>
        <v>-</v>
      </c>
      <c r="D57" t="str">
        <f>исходные!$Y$32</f>
        <v>-</v>
      </c>
      <c r="E57" t="str">
        <f>исходные!$Y$33</f>
        <v>-</v>
      </c>
      <c r="F57" t="str">
        <f>исходные!$Y$34</f>
        <v>-</v>
      </c>
      <c r="G57" s="19" t="str">
        <f>исходные!$Y$35</f>
        <v>-</v>
      </c>
      <c r="H57" t="str">
        <f>исходные!$Y$36</f>
        <v>-</v>
      </c>
      <c r="I57" t="str">
        <f>исходные!$Y$37</f>
        <v>-</v>
      </c>
      <c r="J57" t="str">
        <f>исходные!$Y$38</f>
        <v>-</v>
      </c>
      <c r="K57" t="str">
        <f>исходные!$Y$39</f>
        <v>-</v>
      </c>
      <c r="L57" s="19" t="str">
        <f>исходные!$Y$40</f>
        <v>-</v>
      </c>
      <c r="M57" s="19" t="str">
        <f>исходные!$Y$41</f>
        <v>-</v>
      </c>
      <c r="N57" s="19">
        <f>исходные!$Y$42</f>
        <v>0</v>
      </c>
      <c r="O57" s="19"/>
      <c r="P57" s="19"/>
      <c r="Q57">
        <f t="shared" si="1"/>
        <v>25</v>
      </c>
      <c r="S57" s="18" t="s">
        <v>81</v>
      </c>
      <c r="T57" t="str">
        <f>исходные!$Y$47</f>
        <v>-</v>
      </c>
    </row>
    <row r="58" spans="1:20" ht="15.4" hidden="1" customHeight="1" x14ac:dyDescent="0.25">
      <c r="A58" s="55"/>
      <c r="B58" t="str">
        <f>исходные!$Z$4</f>
        <v>Змеиногорский</v>
      </c>
      <c r="C58">
        <f>исходные!$AA$31</f>
        <v>6.13</v>
      </c>
      <c r="D58">
        <f>исходные!$AA$32</f>
        <v>7.44</v>
      </c>
      <c r="E58">
        <f>исходные!$AA$33</f>
        <v>1.6</v>
      </c>
      <c r="F58">
        <f>исходные!$AA$34</f>
        <v>2.4</v>
      </c>
      <c r="G58" s="19">
        <f>исходные!$AA$35</f>
        <v>20.41</v>
      </c>
      <c r="H58">
        <f>исходные!$AA$36</f>
        <v>1.1399999999999999</v>
      </c>
      <c r="I58">
        <f>исходные!$AA$37</f>
        <v>0.33</v>
      </c>
      <c r="J58">
        <f>исходные!$AA$38</f>
        <v>1.302</v>
      </c>
      <c r="K58">
        <f>исходные!$AA$39</f>
        <v>1.1499999999999999</v>
      </c>
      <c r="L58" s="19">
        <f>исходные!$AA$40</f>
        <v>35</v>
      </c>
      <c r="M58" s="19">
        <f>исходные!$AA$41</f>
        <v>0.93</v>
      </c>
      <c r="N58" s="19">
        <f>исходные!$AA$42</f>
        <v>0</v>
      </c>
      <c r="O58" s="19"/>
      <c r="P58" s="19"/>
      <c r="Q58">
        <f t="shared" si="1"/>
        <v>27</v>
      </c>
      <c r="S58" s="18" t="s">
        <v>83</v>
      </c>
      <c r="T58">
        <f>исходные!$AA$47</f>
        <v>4.01</v>
      </c>
    </row>
    <row r="59" spans="1:20" ht="15.4" hidden="1" customHeight="1" x14ac:dyDescent="0.25">
      <c r="A59" s="55"/>
      <c r="B59" t="str">
        <f>исходные!$AB$4</f>
        <v>Каменский</v>
      </c>
      <c r="C59" t="str">
        <f>исходные!$AC$31</f>
        <v>-</v>
      </c>
      <c r="D59" t="str">
        <f>исходные!$AC$32</f>
        <v>-</v>
      </c>
      <c r="E59" t="str">
        <f>исходные!$AC$33</f>
        <v>-</v>
      </c>
      <c r="F59" t="str">
        <f>исходные!$AC$34</f>
        <v>-</v>
      </c>
      <c r="G59" s="19" t="str">
        <f>исходные!$AC$35</f>
        <v>-</v>
      </c>
      <c r="H59" t="str">
        <f>исходные!$AC$36</f>
        <v>-</v>
      </c>
      <c r="I59" t="str">
        <f>исходные!$AC$37</f>
        <v>-</v>
      </c>
      <c r="J59" t="str">
        <f>исходные!$AC$38</f>
        <v>-</v>
      </c>
      <c r="K59" t="str">
        <f>исходные!$AC$39</f>
        <v>-</v>
      </c>
      <c r="L59" s="19" t="str">
        <f>исходные!$AC$40</f>
        <v>-</v>
      </c>
      <c r="M59" s="19" t="str">
        <f>исходные!$AC$41</f>
        <v>-</v>
      </c>
      <c r="N59" s="19">
        <f>исходные!$AC$42</f>
        <v>0</v>
      </c>
      <c r="O59" s="19"/>
      <c r="P59" s="19"/>
      <c r="Q59">
        <f t="shared" si="1"/>
        <v>29</v>
      </c>
      <c r="S59" s="18" t="s">
        <v>85</v>
      </c>
      <c r="T59" t="str">
        <f>исходные!$AC$47</f>
        <v>-</v>
      </c>
    </row>
    <row r="60" spans="1:20" ht="15.4" hidden="1" customHeight="1" x14ac:dyDescent="0.25">
      <c r="A60" s="55"/>
      <c r="B60" t="str">
        <f>исходные!$AD$4</f>
        <v>Краснощековский</v>
      </c>
      <c r="C60">
        <f>исходные!$AE$31</f>
        <v>0.76</v>
      </c>
      <c r="D60">
        <f>исходные!$AE$32</f>
        <v>1.17</v>
      </c>
      <c r="E60">
        <f>исходные!$AE$33</f>
        <v>4.0999999999999996</v>
      </c>
      <c r="F60">
        <f>исходные!$AE$34</f>
        <v>3</v>
      </c>
      <c r="G60" s="19">
        <f>исходные!$AE$35</f>
        <v>21.1</v>
      </c>
      <c r="H60">
        <f>исходные!$AE$36</f>
        <v>1</v>
      </c>
      <c r="I60">
        <f>исходные!$AE$37</f>
        <v>0.33</v>
      </c>
      <c r="J60">
        <f>исходные!$AE$38</f>
        <v>1.302</v>
      </c>
      <c r="K60">
        <f>исходные!$AE$39</f>
        <v>1.1499999999999999</v>
      </c>
      <c r="L60" s="19">
        <f>исходные!$AE$40</f>
        <v>16</v>
      </c>
      <c r="M60" s="19">
        <f>исходные!$AE$41</f>
        <v>1</v>
      </c>
      <c r="N60" s="19">
        <f>исходные!$AE$42</f>
        <v>0</v>
      </c>
      <c r="O60" s="19"/>
      <c r="P60" s="19"/>
      <c r="Q60">
        <f t="shared" si="1"/>
        <v>31</v>
      </c>
      <c r="S60" s="18" t="s">
        <v>87</v>
      </c>
      <c r="T60">
        <f>исходные!$AE$47</f>
        <v>0.26</v>
      </c>
    </row>
    <row r="61" spans="1:20" ht="15.4" hidden="1" customHeight="1" x14ac:dyDescent="0.25">
      <c r="A61" s="55"/>
      <c r="B61" t="str">
        <f>исходные!$AF$4</f>
        <v>Крутихинский</v>
      </c>
      <c r="C61">
        <f>исходные!$AG$31</f>
        <v>0.41</v>
      </c>
      <c r="D61">
        <f>исходные!$AG$32</f>
        <v>0.66</v>
      </c>
      <c r="E61">
        <f>исходные!$AG$33</f>
        <v>6</v>
      </c>
      <c r="F61">
        <f>исходные!$AG$34</f>
        <v>2.2000000000000002</v>
      </c>
      <c r="G61" s="19">
        <f>исходные!$AG$35</f>
        <v>22.4</v>
      </c>
      <c r="H61">
        <f>исходные!$AG$36</f>
        <v>1.1200000000000001</v>
      </c>
      <c r="I61">
        <f>исходные!$AG$37</f>
        <v>0.14000000000000001</v>
      </c>
      <c r="J61">
        <f>исходные!$AG$38</f>
        <v>1.302</v>
      </c>
      <c r="K61">
        <f>исходные!$AG$39</f>
        <v>1.1499999999999999</v>
      </c>
      <c r="L61" s="19">
        <f>исходные!$AG$40</f>
        <v>13</v>
      </c>
      <c r="M61" s="19">
        <f>исходные!$AG$41</f>
        <v>1.1100000000000001</v>
      </c>
      <c r="N61" s="19" t="str">
        <f>исходные!$AG$42</f>
        <v>-</v>
      </c>
      <c r="O61" s="19"/>
      <c r="P61" s="19"/>
      <c r="Q61">
        <f t="shared" si="1"/>
        <v>33</v>
      </c>
      <c r="S61" s="18" t="s">
        <v>89</v>
      </c>
      <c r="T61">
        <f>исходные!$AG$47</f>
        <v>0.19</v>
      </c>
    </row>
    <row r="62" spans="1:20" ht="15.4" hidden="1" customHeight="1" x14ac:dyDescent="0.25">
      <c r="A62" s="55"/>
      <c r="B62" t="str">
        <f>исходные!$AH$4</f>
        <v>Курьинский</v>
      </c>
      <c r="C62">
        <f>исходные!$AI$31</f>
        <v>2.06</v>
      </c>
      <c r="D62">
        <f>исходные!$AI$32</f>
        <v>2.59</v>
      </c>
      <c r="E62">
        <f>исходные!$AI$33</f>
        <v>10</v>
      </c>
      <c r="F62">
        <f>исходные!$AI$34</f>
        <v>2.66</v>
      </c>
      <c r="G62" s="19">
        <f>исходные!$AI$35</f>
        <v>20.9</v>
      </c>
      <c r="H62">
        <f>исходные!$AI$36</f>
        <v>1.17</v>
      </c>
      <c r="I62">
        <f>исходные!$AI$37</f>
        <v>0.21</v>
      </c>
      <c r="J62">
        <f>исходные!$AI$38</f>
        <v>1.302</v>
      </c>
      <c r="K62">
        <f>исходные!$AI$39</f>
        <v>1.1499999999999999</v>
      </c>
      <c r="L62" s="19">
        <f>исходные!$AI$40</f>
        <v>14</v>
      </c>
      <c r="M62" s="19">
        <f>исходные!$AI$41</f>
        <v>0.9</v>
      </c>
      <c r="N62" s="19">
        <f>исходные!$AI$42</f>
        <v>0</v>
      </c>
      <c r="O62" s="19"/>
      <c r="P62" s="19"/>
      <c r="Q62">
        <f t="shared" si="1"/>
        <v>35</v>
      </c>
      <c r="S62" s="18" t="s">
        <v>91</v>
      </c>
      <c r="T62">
        <f>исходные!$AI$47</f>
        <v>1.43</v>
      </c>
    </row>
    <row r="63" spans="1:20" ht="15.4" hidden="1" customHeight="1" x14ac:dyDescent="0.25">
      <c r="A63" s="55"/>
      <c r="B63" t="str">
        <f>исходные!$AJ$4</f>
        <v>Кытмановский</v>
      </c>
      <c r="C63">
        <f>исходные!$AK$31</f>
        <v>1.56</v>
      </c>
      <c r="D63">
        <f>исходные!$AK$32</f>
        <v>2.62</v>
      </c>
      <c r="E63">
        <f>исходные!$AK$33</f>
        <v>2.6</v>
      </c>
      <c r="F63">
        <f>исходные!$AK$34</f>
        <v>2</v>
      </c>
      <c r="G63" s="19">
        <f>исходные!$AK$35</f>
        <v>20.3</v>
      </c>
      <c r="H63">
        <f>исходные!$AK$36</f>
        <v>1.05</v>
      </c>
      <c r="I63">
        <f>исходные!$AK$37</f>
        <v>0.25</v>
      </c>
      <c r="J63">
        <f>исходные!$AK$38</f>
        <v>1.302</v>
      </c>
      <c r="K63">
        <f>исходные!$AK$39</f>
        <v>1.1499999999999999</v>
      </c>
      <c r="L63" s="19">
        <f>исходные!$AK$40</f>
        <v>14</v>
      </c>
      <c r="M63" s="19">
        <f>исходные!$AK$41</f>
        <v>1.38</v>
      </c>
      <c r="N63" s="19">
        <f>исходные!$AK$42</f>
        <v>0</v>
      </c>
      <c r="O63" s="19"/>
      <c r="P63" s="19"/>
      <c r="Q63">
        <f t="shared" si="1"/>
        <v>37</v>
      </c>
      <c r="S63" s="18" t="s">
        <v>93</v>
      </c>
      <c r="T63">
        <f>исходные!$AK$47</f>
        <v>0.6</v>
      </c>
    </row>
    <row r="64" spans="1:20" ht="15.4" hidden="1" customHeight="1" x14ac:dyDescent="0.25">
      <c r="A64" s="55"/>
      <c r="B64" t="str">
        <f>исходные!$AL$4</f>
        <v>Михайловский</v>
      </c>
      <c r="C64">
        <f>исходные!$AM$31</f>
        <v>0.57999999999999996</v>
      </c>
      <c r="D64">
        <f>исходные!$AM$32</f>
        <v>0.98</v>
      </c>
      <c r="E64">
        <f>исходные!$AM$33</f>
        <v>10</v>
      </c>
      <c r="F64">
        <f>исходные!$AM$34</f>
        <v>1</v>
      </c>
      <c r="G64" s="19">
        <f>исходные!$AM$35</f>
        <v>24.5</v>
      </c>
      <c r="H64">
        <f>исходные!$AM$36</f>
        <v>1</v>
      </c>
      <c r="I64">
        <f>исходные!$AM$37</f>
        <v>0.48</v>
      </c>
      <c r="J64">
        <f>исходные!$AM$38</f>
        <v>1.302</v>
      </c>
      <c r="K64">
        <f>исходные!$AM$39</f>
        <v>1.2</v>
      </c>
      <c r="L64" s="19">
        <f>исходные!$AM$40</f>
        <v>10</v>
      </c>
      <c r="M64" s="19">
        <f>исходные!$AM$41</f>
        <v>0.83</v>
      </c>
      <c r="N64" s="19">
        <f>исходные!$AM$42</f>
        <v>0</v>
      </c>
      <c r="O64" s="19"/>
      <c r="P64" s="19"/>
      <c r="Q64">
        <f t="shared" si="1"/>
        <v>39</v>
      </c>
      <c r="S64" s="18" t="s">
        <v>95</v>
      </c>
      <c r="T64">
        <f>исходные!$AM$47</f>
        <v>0.16</v>
      </c>
    </row>
    <row r="65" spans="1:20" ht="15.4" hidden="1" customHeight="1" x14ac:dyDescent="0.25">
      <c r="A65" s="55"/>
      <c r="B65" t="str">
        <f>исходные!$AN$4</f>
        <v>Локтевский</v>
      </c>
      <c r="C65" t="str">
        <f>исходные!$AO$31</f>
        <v>-</v>
      </c>
      <c r="D65" t="str">
        <f>исходные!$AO$32</f>
        <v>-</v>
      </c>
      <c r="E65" t="str">
        <f>исходные!$AO$33</f>
        <v>-</v>
      </c>
      <c r="F65" t="str">
        <f>исходные!$AO$34</f>
        <v>-</v>
      </c>
      <c r="G65" s="19" t="str">
        <f>исходные!$AO$35</f>
        <v>-</v>
      </c>
      <c r="H65" t="str">
        <f>исходные!$AO$36</f>
        <v>-</v>
      </c>
      <c r="I65" t="str">
        <f>исходные!$AO$37</f>
        <v>-</v>
      </c>
      <c r="J65" t="str">
        <f>исходные!$AO$38</f>
        <v>-</v>
      </c>
      <c r="K65" t="str">
        <f>исходные!$AO$39</f>
        <v>-</v>
      </c>
      <c r="L65" s="19" t="str">
        <f>исходные!$AO$40</f>
        <v>-</v>
      </c>
      <c r="M65" s="19" t="str">
        <f>исходные!$AO$41</f>
        <v>-</v>
      </c>
      <c r="N65" s="19">
        <f>исходные!$AO$42</f>
        <v>0</v>
      </c>
      <c r="O65" s="19"/>
      <c r="P65" s="19"/>
      <c r="Q65">
        <f t="shared" si="1"/>
        <v>41</v>
      </c>
      <c r="S65" s="18" t="s">
        <v>97</v>
      </c>
      <c r="T65" t="str">
        <f>исходные!$AO$47</f>
        <v>-</v>
      </c>
    </row>
    <row r="66" spans="1:20" ht="15.4" hidden="1" customHeight="1" x14ac:dyDescent="0.25">
      <c r="A66" s="55"/>
      <c r="B66" t="str">
        <f>исходные!$AP$4</f>
        <v>Новоалтайск</v>
      </c>
      <c r="C66" t="str">
        <f>исходные!$AQ$31</f>
        <v>-</v>
      </c>
      <c r="D66" t="str">
        <f>исходные!$AQ$32</f>
        <v>-</v>
      </c>
      <c r="E66" t="str">
        <f>исходные!$AQ$33</f>
        <v>-</v>
      </c>
      <c r="F66" t="str">
        <f>исходные!$AQ$34</f>
        <v>-</v>
      </c>
      <c r="G66" s="19" t="str">
        <f>исходные!$AQ$35</f>
        <v>-</v>
      </c>
      <c r="H66" t="str">
        <f>исходные!$AQ$36</f>
        <v>-</v>
      </c>
      <c r="I66" t="str">
        <f>исходные!$AQ$37</f>
        <v>-</v>
      </c>
      <c r="J66" t="str">
        <f>исходные!$AQ$38</f>
        <v>-</v>
      </c>
      <c r="K66" t="str">
        <f>исходные!$AQ$39</f>
        <v>-</v>
      </c>
      <c r="L66" s="19" t="str">
        <f>исходные!$AQ$40</f>
        <v>-</v>
      </c>
      <c r="M66" s="19" t="str">
        <f>исходные!$AQ$41</f>
        <v>-</v>
      </c>
      <c r="N66" s="19">
        <f>исходные!$AQ$42</f>
        <v>0</v>
      </c>
      <c r="O66" s="19"/>
      <c r="P66" s="19"/>
      <c r="Q66">
        <f t="shared" si="1"/>
        <v>43</v>
      </c>
      <c r="S66" s="18" t="s">
        <v>99</v>
      </c>
      <c r="T66" t="str">
        <f>исходные!$AQ$47</f>
        <v>-</v>
      </c>
    </row>
    <row r="67" spans="1:20" ht="15.4" hidden="1" customHeight="1" x14ac:dyDescent="0.25">
      <c r="A67" s="55"/>
      <c r="B67" t="str">
        <f>исходные!$AR$4</f>
        <v>Павловский</v>
      </c>
      <c r="C67">
        <f>исходные!$AS$31</f>
        <v>2.13</v>
      </c>
      <c r="D67">
        <f>исходные!$AS$32</f>
        <v>2.44</v>
      </c>
      <c r="E67">
        <f>исходные!$AS$33</f>
        <v>7.4</v>
      </c>
      <c r="F67">
        <f>исходные!$AS$34</f>
        <v>2.65</v>
      </c>
      <c r="G67" s="19">
        <f>исходные!$AS$35</f>
        <v>23.913</v>
      </c>
      <c r="H67">
        <f>исходные!$AS$36</f>
        <v>1.05</v>
      </c>
      <c r="I67">
        <f>исходные!$AS$37</f>
        <v>0.24</v>
      </c>
      <c r="J67">
        <f>исходные!$AS$38</f>
        <v>1.302</v>
      </c>
      <c r="K67">
        <f>исходные!$AS$39</f>
        <v>1.1499999999999999</v>
      </c>
      <c r="L67" s="19">
        <f>исходные!$AS$40</f>
        <v>16</v>
      </c>
      <c r="M67" s="19">
        <f>исходные!$AS$41</f>
        <v>1.05</v>
      </c>
      <c r="N67" s="19">
        <f>исходные!$AS$42</f>
        <v>0</v>
      </c>
      <c r="O67" s="19"/>
      <c r="P67" s="19"/>
      <c r="Q67">
        <f t="shared" si="1"/>
        <v>45</v>
      </c>
      <c r="S67" s="18" t="s">
        <v>101</v>
      </c>
      <c r="T67">
        <f>исходные!$AS$47</f>
        <v>1.75</v>
      </c>
    </row>
    <row r="68" spans="1:20" ht="15.4" hidden="1" customHeight="1" x14ac:dyDescent="0.25">
      <c r="A68" s="55"/>
      <c r="B68" t="str">
        <f>исходные!$AT$4</f>
        <v>Первомайский</v>
      </c>
      <c r="C68">
        <f>исходные!$AU$31</f>
        <v>1.44</v>
      </c>
      <c r="D68">
        <f>исходные!$AU$32</f>
        <v>1.57</v>
      </c>
      <c r="E68">
        <f>исходные!$AU$33</f>
        <v>8</v>
      </c>
      <c r="F68" t="str">
        <f>исходные!$AU$34</f>
        <v>1,4</v>
      </c>
      <c r="G68" s="19">
        <f>исходные!$AU$35</f>
        <v>25.128</v>
      </c>
      <c r="H68">
        <f>исходные!$AU$36</f>
        <v>1.04</v>
      </c>
      <c r="I68">
        <f>исходные!$AU$37</f>
        <v>0.09</v>
      </c>
      <c r="J68">
        <f>исходные!$AU$38</f>
        <v>1.302</v>
      </c>
      <c r="K68">
        <f>исходные!$AU$39</f>
        <v>1.1499999999999999</v>
      </c>
      <c r="L68" s="19">
        <f>исходные!$AU$40</f>
        <v>24</v>
      </c>
      <c r="M68" s="19">
        <f>исходные!$AU$41</f>
        <v>1.73</v>
      </c>
      <c r="N68" s="19">
        <f>исходные!$AU$42</f>
        <v>0</v>
      </c>
      <c r="O68" s="19"/>
      <c r="P68" s="19"/>
      <c r="Q68">
        <f t="shared" si="1"/>
        <v>47</v>
      </c>
      <c r="S68" s="18" t="s">
        <v>103</v>
      </c>
      <c r="T68">
        <f>исходные!$AU$47</f>
        <v>1.28</v>
      </c>
    </row>
    <row r="69" spans="1:20" ht="15.4" hidden="1" customHeight="1" x14ac:dyDescent="0.25">
      <c r="A69" s="55"/>
      <c r="B69" t="str">
        <f>исходные!$AV$4</f>
        <v>Поспелихинский</v>
      </c>
      <c r="C69">
        <f>исходные!$AW$31</f>
        <v>3.01</v>
      </c>
      <c r="D69">
        <f>исходные!$AW$32</f>
        <v>3.71</v>
      </c>
      <c r="E69">
        <f>исходные!$AW$33</f>
        <v>5</v>
      </c>
      <c r="F69">
        <f>исходные!$AW$34</f>
        <v>3</v>
      </c>
      <c r="G69">
        <f>исходные!$AW$35</f>
        <v>23.7</v>
      </c>
      <c r="H69">
        <f>исходные!$AW$36</f>
        <v>1.06</v>
      </c>
      <c r="I69">
        <f>исходные!$AW$37</f>
        <v>0.24</v>
      </c>
      <c r="J69">
        <f>исходные!$AW$38</f>
        <v>1.302</v>
      </c>
      <c r="K69">
        <f>исходные!$AW$39</f>
        <v>1.1499999999999999</v>
      </c>
      <c r="L69">
        <f>исходные!$AW$40</f>
        <v>46</v>
      </c>
      <c r="M69">
        <f>исходные!$AW$41</f>
        <v>1.23</v>
      </c>
      <c r="N69" s="19">
        <f>исходные!$AW$42</f>
        <v>0</v>
      </c>
      <c r="Q69">
        <f t="shared" si="1"/>
        <v>49</v>
      </c>
      <c r="S69" s="18" t="s">
        <v>105</v>
      </c>
      <c r="T69">
        <f>исходные!$AW$47</f>
        <v>2.17</v>
      </c>
    </row>
    <row r="70" spans="1:20" ht="15.4" hidden="1" customHeight="1" x14ac:dyDescent="0.25">
      <c r="A70" s="55"/>
      <c r="B70" t="str">
        <f>исходные!$AX$4</f>
        <v>Родинский</v>
      </c>
      <c r="C70">
        <f>исходные!$AY$31</f>
        <v>7.44</v>
      </c>
      <c r="D70">
        <f>исходные!$AY$32</f>
        <v>11.84</v>
      </c>
      <c r="E70">
        <f>исходные!$AY$33</f>
        <v>3</v>
      </c>
      <c r="F70">
        <f>исходные!$AY$34</f>
        <v>1.5</v>
      </c>
      <c r="G70">
        <f>исходные!$AY$35</f>
        <v>23.084</v>
      </c>
      <c r="H70">
        <f>исходные!$AY$36</f>
        <v>1.2</v>
      </c>
      <c r="I70">
        <f>исходные!$AY$37</f>
        <v>0.39</v>
      </c>
      <c r="J70">
        <f>исходные!$AY$38</f>
        <v>1.302</v>
      </c>
      <c r="K70">
        <f>исходные!$AY$39</f>
        <v>1.1499999999999999</v>
      </c>
      <c r="L70">
        <f>исходные!$AY$40</f>
        <v>34</v>
      </c>
      <c r="M70">
        <f>исходные!$AY$41</f>
        <v>1</v>
      </c>
      <c r="N70" s="19">
        <f>исходные!$AY$42</f>
        <v>0</v>
      </c>
      <c r="Q70">
        <f t="shared" si="1"/>
        <v>51</v>
      </c>
      <c r="S70" s="18" t="s">
        <v>107</v>
      </c>
      <c r="T70">
        <f>исходные!$AY$47</f>
        <v>2.12</v>
      </c>
    </row>
    <row r="71" spans="1:20" ht="15.4" hidden="1" customHeight="1" x14ac:dyDescent="0.25">
      <c r="A71" s="55"/>
      <c r="B71" t="str">
        <f>исходные!$AZ$4</f>
        <v>Романовский</v>
      </c>
      <c r="C71">
        <f>исходные!$BA$31</f>
        <v>1.74</v>
      </c>
      <c r="D71">
        <f>исходные!$BA$32</f>
        <v>2.2400000000000002</v>
      </c>
      <c r="E71">
        <f>исходные!$BA$33</f>
        <v>7.2</v>
      </c>
      <c r="F71">
        <f>исходные!$BA$34</f>
        <v>2.7</v>
      </c>
      <c r="G71">
        <f>исходные!$BA$35</f>
        <v>21.3</v>
      </c>
      <c r="H71">
        <f>исходные!$BA$36</f>
        <v>1.06</v>
      </c>
      <c r="I71">
        <f>исходные!$BA$37</f>
        <v>0.31</v>
      </c>
      <c r="J71">
        <f>исходные!$BA$38</f>
        <v>1.302</v>
      </c>
      <c r="K71">
        <f>исходные!$BA$39</f>
        <v>1.1499999999999999</v>
      </c>
      <c r="L71">
        <f>исходные!$BA$40</f>
        <v>19</v>
      </c>
      <c r="M71">
        <f>исходные!$BA$41</f>
        <v>1.1299999999999999</v>
      </c>
      <c r="N71" s="19">
        <f>исходные!$BA$42</f>
        <v>0</v>
      </c>
      <c r="Q71">
        <f t="shared" si="1"/>
        <v>53</v>
      </c>
      <c r="S71" s="18" t="s">
        <v>109</v>
      </c>
      <c r="T71">
        <f>исходные!$BA$47</f>
        <v>1.19</v>
      </c>
    </row>
    <row r="72" spans="1:20" ht="15.4" hidden="1" customHeight="1" x14ac:dyDescent="0.25">
      <c r="A72" s="55"/>
      <c r="B72" t="str">
        <f>исходные!$BB$4</f>
        <v>Рубцовск</v>
      </c>
      <c r="C72" t="str">
        <f>исходные!$BC$31</f>
        <v>-</v>
      </c>
      <c r="D72" t="str">
        <f>исходные!$BC$32</f>
        <v>-</v>
      </c>
      <c r="E72" t="str">
        <f>исходные!$BC$33</f>
        <v>-</v>
      </c>
      <c r="F72" t="str">
        <f>исходные!$BC$34</f>
        <v>-</v>
      </c>
      <c r="G72" t="str">
        <f>исходные!$BC$35</f>
        <v>-</v>
      </c>
      <c r="H72" t="str">
        <f>исходные!$BC$36</f>
        <v>-</v>
      </c>
      <c r="I72" t="str">
        <f>исходные!$BC$37</f>
        <v>-</v>
      </c>
      <c r="J72" t="str">
        <f>исходные!$BC$38</f>
        <v>-</v>
      </c>
      <c r="K72" t="str">
        <f>исходные!$BC$39</f>
        <v>-</v>
      </c>
      <c r="L72" t="str">
        <f>исходные!$BC$40</f>
        <v>-</v>
      </c>
      <c r="M72" t="str">
        <f>исходные!$BC$41</f>
        <v>-</v>
      </c>
      <c r="N72" s="19">
        <f>исходные!$BC$42</f>
        <v>0</v>
      </c>
      <c r="Q72">
        <f t="shared" si="1"/>
        <v>55</v>
      </c>
      <c r="S72" s="18" t="s">
        <v>111</v>
      </c>
      <c r="T72" t="str">
        <f>исходные!$BC$47</f>
        <v>-</v>
      </c>
    </row>
    <row r="73" spans="1:20" ht="15.4" hidden="1" customHeight="1" x14ac:dyDescent="0.25">
      <c r="A73" s="55"/>
      <c r="B73" t="str">
        <f>исходные!$BD$4</f>
        <v>Сибирский ЗАТО</v>
      </c>
      <c r="C73" t="str">
        <f>исходные!$BE$31</f>
        <v>-</v>
      </c>
      <c r="D73" t="str">
        <f>исходные!$BE$32</f>
        <v>-</v>
      </c>
      <c r="E73" t="str">
        <f>исходные!$BE$33</f>
        <v>-</v>
      </c>
      <c r="F73" t="str">
        <f>исходные!$BE$34</f>
        <v>-</v>
      </c>
      <c r="G73" t="str">
        <f>исходные!$BE$35</f>
        <v>-</v>
      </c>
      <c r="H73" t="str">
        <f>исходные!$BE$36</f>
        <v>-</v>
      </c>
      <c r="I73" t="str">
        <f>исходные!$BE$37</f>
        <v>-</v>
      </c>
      <c r="J73" t="str">
        <f>исходные!$BE$38</f>
        <v>-</v>
      </c>
      <c r="K73" t="str">
        <f>исходные!$BE$39</f>
        <v>-</v>
      </c>
      <c r="L73" t="str">
        <f>исходные!$BE$40</f>
        <v>-</v>
      </c>
      <c r="M73" t="str">
        <f>исходные!$BE$41</f>
        <v>-</v>
      </c>
      <c r="N73" s="19">
        <f>исходные!$BE$42</f>
        <v>0</v>
      </c>
      <c r="Q73">
        <f t="shared" si="1"/>
        <v>57</v>
      </c>
      <c r="S73" s="18" t="s">
        <v>113</v>
      </c>
      <c r="T73" t="str">
        <f>исходные!$BE$47</f>
        <v>-</v>
      </c>
    </row>
    <row r="74" spans="1:20" ht="15.4" hidden="1" customHeight="1" x14ac:dyDescent="0.25">
      <c r="A74" s="55"/>
      <c r="B74" t="str">
        <f>исходные!$BF$4</f>
        <v>Смоленский</v>
      </c>
      <c r="C74">
        <f>исходные!$BG$31</f>
        <v>1.61</v>
      </c>
      <c r="D74">
        <f>исходные!$BG$32</f>
        <v>2.69</v>
      </c>
      <c r="E74">
        <f>исходные!$BG$33</f>
        <v>7.5</v>
      </c>
      <c r="F74">
        <f>исходные!$BG$34</f>
        <v>5.2</v>
      </c>
      <c r="G74">
        <f>исходные!$BG$35</f>
        <v>22.9</v>
      </c>
      <c r="H74">
        <f>исходные!$BG$36</f>
        <v>1</v>
      </c>
      <c r="I74">
        <f>исходные!$BG$37</f>
        <v>0.32</v>
      </c>
      <c r="J74">
        <f>исходные!$BG$38</f>
        <v>1.302</v>
      </c>
      <c r="K74">
        <f>исходные!$BG$39</f>
        <v>1.1499999999999999</v>
      </c>
      <c r="L74">
        <f>исходные!$BG$40</f>
        <v>25</v>
      </c>
      <c r="M74">
        <f>исходные!$BG$41</f>
        <v>1.33</v>
      </c>
      <c r="N74" s="19">
        <f>исходные!$BG$42</f>
        <v>0</v>
      </c>
      <c r="Q74">
        <f t="shared" si="1"/>
        <v>59</v>
      </c>
      <c r="S74" s="18" t="s">
        <v>115</v>
      </c>
      <c r="T74">
        <f>исходные!$BG$47</f>
        <v>1.6</v>
      </c>
    </row>
    <row r="75" spans="1:20" ht="15.4" hidden="1" customHeight="1" x14ac:dyDescent="0.25">
      <c r="A75" s="55"/>
      <c r="B75" t="str">
        <f>исходные!$BH$4</f>
        <v>Славгород</v>
      </c>
      <c r="C75" t="str">
        <f>исходные!$BI$31</f>
        <v>-</v>
      </c>
      <c r="D75" t="str">
        <f>исходные!$BI$32</f>
        <v>-</v>
      </c>
      <c r="E75" t="str">
        <f>исходные!$BI$33</f>
        <v>-</v>
      </c>
      <c r="F75" t="str">
        <f>исходные!$BI$34</f>
        <v>-</v>
      </c>
      <c r="G75" t="str">
        <f>исходные!$BI$35</f>
        <v>-</v>
      </c>
      <c r="H75" t="str">
        <f>исходные!$BI$36</f>
        <v>-</v>
      </c>
      <c r="I75" t="str">
        <f>исходные!$BI$37</f>
        <v>-</v>
      </c>
      <c r="J75" t="str">
        <f>исходные!$BI$38</f>
        <v>-</v>
      </c>
      <c r="K75" t="str">
        <f>исходные!$BI$39</f>
        <v>-</v>
      </c>
      <c r="L75" t="str">
        <f>исходные!$BI$40</f>
        <v>-</v>
      </c>
      <c r="M75" t="str">
        <f>исходные!$BI$41</f>
        <v>-</v>
      </c>
      <c r="N75" s="19">
        <f>исходные!$BI$42</f>
        <v>0</v>
      </c>
      <c r="Q75">
        <f t="shared" si="1"/>
        <v>61</v>
      </c>
      <c r="S75" s="18" t="s">
        <v>117</v>
      </c>
      <c r="T75" t="str">
        <f>исходные!$BI$47</f>
        <v>-</v>
      </c>
    </row>
    <row r="76" spans="1:20" ht="15.4" hidden="1" customHeight="1" x14ac:dyDescent="0.25">
      <c r="A76" s="55"/>
      <c r="B76" t="str">
        <f>исходные!$BJ$4</f>
        <v>Советский</v>
      </c>
      <c r="C76">
        <f>исходные!$BK$31</f>
        <v>0.37</v>
      </c>
      <c r="D76">
        <f>исходные!$BK$32</f>
        <v>0.54</v>
      </c>
      <c r="E76">
        <f>исходные!$BK$33</f>
        <v>2.1</v>
      </c>
      <c r="F76">
        <f>исходные!$BK$34</f>
        <v>0.5</v>
      </c>
      <c r="G76">
        <f>исходные!$BK$35</f>
        <v>22.6</v>
      </c>
      <c r="H76">
        <f>исходные!$BK$36</f>
        <v>1.1100000000000001</v>
      </c>
      <c r="I76">
        <f>исходные!$BK$37</f>
        <v>0.28000000000000003</v>
      </c>
      <c r="J76">
        <f>исходные!$BK$38</f>
        <v>1.302</v>
      </c>
      <c r="K76">
        <f>исходные!$BK$39</f>
        <v>1.1499999999999999</v>
      </c>
      <c r="L76">
        <f>исходные!$BK$40</f>
        <v>14</v>
      </c>
      <c r="M76">
        <f>исходные!$BK$41</f>
        <v>1.63</v>
      </c>
      <c r="N76" s="19">
        <f>исходные!$BK$42</f>
        <v>0</v>
      </c>
      <c r="Q76">
        <f t="shared" si="1"/>
        <v>63</v>
      </c>
      <c r="S76" s="18" t="s">
        <v>119</v>
      </c>
      <c r="T76">
        <f>исходные!$BK$47</f>
        <v>0.19</v>
      </c>
    </row>
    <row r="77" spans="1:20" ht="15.4" hidden="1" customHeight="1" x14ac:dyDescent="0.25">
      <c r="A77" s="55"/>
      <c r="B77" t="str">
        <f>исходные!$BL$4</f>
        <v>Солонешенский</v>
      </c>
      <c r="C77">
        <f>исходные!$BM$31</f>
        <v>14.7</v>
      </c>
      <c r="D77">
        <f>исходные!$BM$32</f>
        <v>15.01</v>
      </c>
      <c r="E77">
        <f>исходные!$BM$33</f>
        <v>4.3</v>
      </c>
      <c r="F77">
        <f>исходные!$BM$34</f>
        <v>4.9000000000000004</v>
      </c>
      <c r="G77">
        <f>исходные!$BM$35</f>
        <v>18.481000000000002</v>
      </c>
      <c r="H77">
        <f>исходные!$BM$36</f>
        <v>1</v>
      </c>
      <c r="I77">
        <f>исходные!$BM$37</f>
        <v>0.35</v>
      </c>
      <c r="J77">
        <f>исходные!$BM$38</f>
        <v>1.302</v>
      </c>
      <c r="K77">
        <f>исходные!$BM$39</f>
        <v>1.1499999999999999</v>
      </c>
      <c r="L77">
        <f>исходные!$BM$40</f>
        <v>29</v>
      </c>
      <c r="M77">
        <f>исходные!$BM$41</f>
        <v>1.1399999999999999</v>
      </c>
      <c r="N77" s="19">
        <f>исходные!$BM$42</f>
        <v>0</v>
      </c>
      <c r="Q77">
        <f t="shared" si="1"/>
        <v>65</v>
      </c>
      <c r="S77" s="18" t="s">
        <v>121</v>
      </c>
      <c r="T77">
        <f>исходные!$BM$47</f>
        <v>14.08</v>
      </c>
    </row>
    <row r="78" spans="1:20" ht="15.4" hidden="1" customHeight="1" x14ac:dyDescent="0.25">
      <c r="A78" s="55"/>
      <c r="B78" t="str">
        <f>исходные!$BN$4</f>
        <v>Третьяковский</v>
      </c>
      <c r="C78">
        <f>исходные!$BO$31</f>
        <v>1.76</v>
      </c>
      <c r="D78">
        <f>исходные!$BO$32</f>
        <v>2.52</v>
      </c>
      <c r="E78">
        <f>исходные!$BO$33</f>
        <v>15.7</v>
      </c>
      <c r="F78">
        <f>исходные!$BO$34</f>
        <v>1.6</v>
      </c>
      <c r="G78">
        <f>исходные!$BO$35</f>
        <v>21.2</v>
      </c>
      <c r="H78">
        <f>исходные!$BO$36</f>
        <v>1</v>
      </c>
      <c r="I78">
        <f>исходные!$BO$37</f>
        <v>0.16</v>
      </c>
      <c r="J78">
        <f>исходные!$BO$38</f>
        <v>1.302</v>
      </c>
      <c r="K78">
        <f>исходные!$BO$39</f>
        <v>1.1499999999999999</v>
      </c>
      <c r="L78">
        <f>исходные!$BO$40</f>
        <v>18</v>
      </c>
      <c r="M78">
        <f>исходные!$BO$41</f>
        <v>1.17</v>
      </c>
      <c r="N78" s="19">
        <f>исходные!$BO$42</f>
        <v>0</v>
      </c>
      <c r="Q78">
        <f t="shared" si="1"/>
        <v>67</v>
      </c>
      <c r="S78" s="18" t="s">
        <v>123</v>
      </c>
      <c r="T78">
        <f>исходные!$BO$47</f>
        <v>0.99</v>
      </c>
    </row>
    <row r="79" spans="1:20" ht="15.4" hidden="1" customHeight="1" x14ac:dyDescent="0.25">
      <c r="A79" s="55"/>
      <c r="B79" t="str">
        <f>исходные!$BP$4</f>
        <v>Тюменцевский</v>
      </c>
      <c r="C79">
        <f>исходные!$BQ$31</f>
        <v>0.42</v>
      </c>
      <c r="D79">
        <f>исходные!$BQ$32</f>
        <v>0.91</v>
      </c>
      <c r="E79">
        <f>исходные!$BQ$33</f>
        <v>4.9000000000000004</v>
      </c>
      <c r="F79">
        <f>исходные!$BQ$34</f>
        <v>3.25</v>
      </c>
      <c r="G79">
        <f>исходные!$BQ$35</f>
        <v>21.667000000000002</v>
      </c>
      <c r="H79">
        <f>исходные!$BQ$36</f>
        <v>1.2</v>
      </c>
      <c r="I79">
        <f>исходные!$BQ$37</f>
        <v>0.66</v>
      </c>
      <c r="J79">
        <f>исходные!$BQ$38</f>
        <v>1.302</v>
      </c>
      <c r="K79">
        <f>исходные!$BQ$39</f>
        <v>1.1499999999999999</v>
      </c>
      <c r="L79">
        <f>исходные!$BQ$40</f>
        <v>29</v>
      </c>
      <c r="M79">
        <f>исходные!$BQ$41</f>
        <v>1.26</v>
      </c>
      <c r="N79" s="19">
        <f>исходные!$BQ$42</f>
        <v>0</v>
      </c>
      <c r="Q79">
        <f t="shared" si="1"/>
        <v>69</v>
      </c>
      <c r="S79" s="18" t="s">
        <v>125</v>
      </c>
      <c r="T79">
        <f>исходные!$BQ$47</f>
        <v>0.33</v>
      </c>
    </row>
    <row r="80" spans="1:20" ht="15.4" hidden="1" customHeight="1" x14ac:dyDescent="0.25">
      <c r="A80" s="55"/>
      <c r="B80" t="str">
        <f>исходные!$BR$4</f>
        <v>Усть-Калманский</v>
      </c>
      <c r="C80">
        <f>исходные!$BS$31</f>
        <v>1.25</v>
      </c>
      <c r="D80">
        <f>исходные!$BS$32</f>
        <v>1.53</v>
      </c>
      <c r="E80">
        <f>исходные!$BS$33</f>
        <v>1.3</v>
      </c>
      <c r="F80">
        <f>исходные!$BS$34</f>
        <v>5.3</v>
      </c>
      <c r="G80">
        <f>исходные!$BS$35</f>
        <v>19.396000000000001</v>
      </c>
      <c r="H80">
        <f>исходные!$BS$36</f>
        <v>1.1100000000000001</v>
      </c>
      <c r="I80">
        <f>исходные!$BS$37</f>
        <v>0.28000000000000003</v>
      </c>
      <c r="J80">
        <f>исходные!$BS$38</f>
        <v>1.302</v>
      </c>
      <c r="K80">
        <f>исходные!$BS$39</f>
        <v>1.1499999999999999</v>
      </c>
      <c r="L80">
        <f>исходные!$BS$40</f>
        <v>18</v>
      </c>
      <c r="M80">
        <f>исходные!$BS$41</f>
        <v>1.25</v>
      </c>
      <c r="N80" s="19">
        <f>исходные!$BS$42</f>
        <v>0</v>
      </c>
      <c r="Q80">
        <f t="shared" si="1"/>
        <v>71</v>
      </c>
      <c r="S80" s="18" t="s">
        <v>127</v>
      </c>
      <c r="T80">
        <f>исходные!$BS$47</f>
        <v>0.84</v>
      </c>
    </row>
    <row r="81" spans="1:20" ht="15.4" hidden="1" customHeight="1" x14ac:dyDescent="0.25">
      <c r="A81" s="55"/>
      <c r="B81" t="str">
        <f>исходные!$BT$4</f>
        <v>Хабарский</v>
      </c>
      <c r="C81">
        <f>исходные!$BU$31</f>
        <v>1.1100000000000001</v>
      </c>
      <c r="D81">
        <f>исходные!$BU$32</f>
        <v>1.1599999999999999</v>
      </c>
      <c r="E81">
        <f>исходные!$BU$33</f>
        <v>8</v>
      </c>
      <c r="F81">
        <f>исходные!$BU$34</f>
        <v>3</v>
      </c>
      <c r="G81">
        <f>исходные!$BU$35</f>
        <v>21.5</v>
      </c>
      <c r="H81">
        <f>исходные!$BU$36</f>
        <v>1.19</v>
      </c>
      <c r="I81">
        <f>исходные!$BU$37</f>
        <v>0.31</v>
      </c>
      <c r="J81">
        <f>исходные!$BU$38</f>
        <v>1.302</v>
      </c>
      <c r="K81">
        <f>исходные!$BU$39</f>
        <v>1.1499999999999999</v>
      </c>
      <c r="L81">
        <f>исходные!$BU$40</f>
        <v>19</v>
      </c>
      <c r="M81">
        <f>исходные!$BU$41</f>
        <v>1</v>
      </c>
      <c r="N81" s="19">
        <f>исходные!$BU$42</f>
        <v>0</v>
      </c>
      <c r="Q81">
        <f t="shared" si="1"/>
        <v>73</v>
      </c>
      <c r="S81" s="18" t="s">
        <v>129</v>
      </c>
      <c r="T81">
        <f>исходные!$BU$47</f>
        <v>1.07</v>
      </c>
    </row>
    <row r="82" spans="1:20" ht="15.4" hidden="1" customHeight="1" x14ac:dyDescent="0.25">
      <c r="A82" s="55"/>
      <c r="B82" t="str">
        <f>исходные!$BV$4</f>
        <v>Целинный</v>
      </c>
      <c r="C82">
        <f>исходные!$BW$31</f>
        <v>2.54</v>
      </c>
      <c r="D82">
        <f>исходные!$BW$32</f>
        <v>3.07</v>
      </c>
      <c r="E82">
        <f>исходные!$BW$33</f>
        <v>5</v>
      </c>
      <c r="F82">
        <f>исходные!$BW$34</f>
        <v>4.2</v>
      </c>
      <c r="G82">
        <f>исходные!$BW$35</f>
        <v>20.074999999999999</v>
      </c>
      <c r="H82">
        <f>исходные!$BW$36</f>
        <v>1.1100000000000001</v>
      </c>
      <c r="I82">
        <f>исходные!$BW$37</f>
        <v>0.31</v>
      </c>
      <c r="J82">
        <f>исходные!$BW$38</f>
        <v>1.302</v>
      </c>
      <c r="K82">
        <f>исходные!$BW$39</f>
        <v>1.1499999999999999</v>
      </c>
      <c r="L82">
        <f>исходные!$BW$40</f>
        <v>32</v>
      </c>
      <c r="M82">
        <f>исходные!$BW$41</f>
        <v>1.34</v>
      </c>
      <c r="N82" s="19">
        <f>исходные!$BW$42</f>
        <v>0</v>
      </c>
      <c r="Q82">
        <f t="shared" si="1"/>
        <v>75</v>
      </c>
      <c r="S82" s="18" t="s">
        <v>131</v>
      </c>
      <c r="T82">
        <f>исходные!$BW$47</f>
        <v>1.99</v>
      </c>
    </row>
    <row r="83" spans="1:20" ht="15.4" hidden="1" customHeight="1" x14ac:dyDescent="0.25">
      <c r="A83" s="55"/>
      <c r="B83" t="str">
        <f>исходные!$BX$4</f>
        <v>Чарышский</v>
      </c>
      <c r="C83">
        <f>исходные!$BY$31</f>
        <v>1.77</v>
      </c>
      <c r="D83">
        <f>исходные!$BY$32</f>
        <v>2.21</v>
      </c>
      <c r="E83">
        <f>исходные!$BY$33</f>
        <v>10.8</v>
      </c>
      <c r="F83">
        <f>исходные!$BY$34</f>
        <v>2.9</v>
      </c>
      <c r="G83">
        <f>исходные!$BY$35</f>
        <v>20.9</v>
      </c>
      <c r="H83">
        <f>исходные!$BY$36</f>
        <v>1.1499999999999999</v>
      </c>
      <c r="I83">
        <f>исходные!$BY$37</f>
        <v>0.25</v>
      </c>
      <c r="J83">
        <f>исходные!$BY$38</f>
        <v>1.302</v>
      </c>
      <c r="K83">
        <f>исходные!$BY$39</f>
        <v>1.1499999999999999</v>
      </c>
      <c r="L83">
        <f>исходные!$BY$40</f>
        <v>41</v>
      </c>
      <c r="M83">
        <f>исходные!$BY$41</f>
        <v>1.23</v>
      </c>
      <c r="N83" s="19">
        <f>исходные!$BY$42</f>
        <v>0</v>
      </c>
      <c r="Q83">
        <f t="shared" si="1"/>
        <v>77</v>
      </c>
      <c r="S83" s="18" t="s">
        <v>133</v>
      </c>
      <c r="T83">
        <f>исходные!$BY$47</f>
        <v>1.26</v>
      </c>
    </row>
    <row r="84" spans="1:20" ht="15.4" hidden="1" customHeight="1" x14ac:dyDescent="0.25">
      <c r="A84" s="55"/>
      <c r="B84" t="str">
        <f>исходные!$BZ$4</f>
        <v>Яровое</v>
      </c>
      <c r="C84" t="str">
        <f>исходные!$CA$31</f>
        <v>-</v>
      </c>
      <c r="D84" t="str">
        <f>исходные!$CA$32</f>
        <v>-</v>
      </c>
      <c r="E84" t="str">
        <f>исходные!$CA$33</f>
        <v>-</v>
      </c>
      <c r="F84" t="str">
        <f>исходные!$CA$34</f>
        <v>-</v>
      </c>
      <c r="G84" t="str">
        <f>исходные!$CA$35</f>
        <v>-</v>
      </c>
      <c r="H84" t="str">
        <f>исходные!$CA$36</f>
        <v>-</v>
      </c>
      <c r="I84" t="str">
        <f>исходные!$CA$37</f>
        <v>-</v>
      </c>
      <c r="J84" t="str">
        <f>исходные!$CA$38</f>
        <v>-</v>
      </c>
      <c r="K84" t="str">
        <f>исходные!$CA$39</f>
        <v>-</v>
      </c>
      <c r="L84" t="str">
        <f>исходные!$CA$40</f>
        <v>-</v>
      </c>
      <c r="M84" t="str">
        <f>исходные!$CA$41</f>
        <v>-</v>
      </c>
      <c r="N84" s="19">
        <f>исходные!$CA$42</f>
        <v>0</v>
      </c>
      <c r="Q84">
        <f t="shared" si="1"/>
        <v>79</v>
      </c>
      <c r="S84" s="18" t="s">
        <v>135</v>
      </c>
      <c r="T84" t="str">
        <f>исходные!$CA$47</f>
        <v>-</v>
      </c>
    </row>
    <row r="85" spans="1:20" ht="15.4" hidden="1" customHeight="1" x14ac:dyDescent="0.25">
      <c r="A85" s="55"/>
      <c r="B85">
        <f>исходные!$CB$4</f>
        <v>0</v>
      </c>
      <c r="C85" t="str">
        <f>исходные!$CC$31</f>
        <v>-</v>
      </c>
      <c r="D85" t="str">
        <f>исходные!$CC$32</f>
        <v>-</v>
      </c>
      <c r="E85" t="str">
        <f>исходные!$CC$33</f>
        <v>-</v>
      </c>
      <c r="F85" t="str">
        <f>исходные!$CC$34</f>
        <v>-</v>
      </c>
      <c r="G85" t="str">
        <f>исходные!$CC$35</f>
        <v>-</v>
      </c>
      <c r="H85" t="str">
        <f>исходные!$CC$36</f>
        <v>-</v>
      </c>
      <c r="I85" t="str">
        <f>исходные!$CC$37</f>
        <v>-</v>
      </c>
      <c r="J85" t="str">
        <f>исходные!$CC$38</f>
        <v>-</v>
      </c>
      <c r="K85" t="str">
        <f>исходные!$CC$39</f>
        <v>-</v>
      </c>
      <c r="L85" t="str">
        <f>исходные!$CC$40</f>
        <v>-</v>
      </c>
      <c r="M85" t="str">
        <f>исходные!$CC$41</f>
        <v>-</v>
      </c>
      <c r="N85" s="19">
        <f>исходные!$CC$42</f>
        <v>0</v>
      </c>
      <c r="Q85">
        <f t="shared" si="1"/>
        <v>81</v>
      </c>
      <c r="S85" s="18" t="s">
        <v>137</v>
      </c>
      <c r="T85" t="str">
        <f>исходные!$CC$47</f>
        <v>-</v>
      </c>
    </row>
    <row r="86" spans="1:20" ht="15.4" hidden="1" customHeight="1" x14ac:dyDescent="0.25">
      <c r="A86" s="55"/>
      <c r="B86">
        <f>исходные!$CD$4</f>
        <v>0</v>
      </c>
      <c r="C86" t="str">
        <f>исходные!$CE$31</f>
        <v>-</v>
      </c>
      <c r="D86" t="str">
        <f>исходные!$CE$32</f>
        <v>-</v>
      </c>
      <c r="E86" t="str">
        <f>исходные!$CE$33</f>
        <v>-</v>
      </c>
      <c r="F86" t="str">
        <f>исходные!$CE$34</f>
        <v>-</v>
      </c>
      <c r="G86" t="str">
        <f>исходные!$CE$35</f>
        <v>-</v>
      </c>
      <c r="H86" t="str">
        <f>исходные!$CE$36</f>
        <v>-</v>
      </c>
      <c r="I86" t="str">
        <f>исходные!$CE$37</f>
        <v>-</v>
      </c>
      <c r="J86" t="str">
        <f>исходные!$CE$38</f>
        <v>-</v>
      </c>
      <c r="K86" t="str">
        <f>исходные!$CE$39</f>
        <v>-</v>
      </c>
      <c r="L86" t="str">
        <f>исходные!$CE$40</f>
        <v>-</v>
      </c>
      <c r="M86" t="str">
        <f>исходные!$CE$41</f>
        <v>-</v>
      </c>
      <c r="N86" s="19">
        <f>исходные!$CE$42</f>
        <v>0</v>
      </c>
      <c r="Q86">
        <f t="shared" si="1"/>
        <v>83</v>
      </c>
      <c r="S86" s="18" t="s">
        <v>139</v>
      </c>
      <c r="T86" t="str">
        <f>исходные!$CE$47</f>
        <v>-</v>
      </c>
    </row>
    <row r="87" spans="1:20" ht="15.4" hidden="1" customHeight="1" x14ac:dyDescent="0.25">
      <c r="A87" s="55"/>
      <c r="B87">
        <f>исходные!$CF$4</f>
        <v>0</v>
      </c>
      <c r="C87">
        <f>исходные!$CG$31</f>
        <v>0</v>
      </c>
      <c r="D87">
        <f>исходные!$CG$32</f>
        <v>0</v>
      </c>
      <c r="E87">
        <f>исходные!$CG$33</f>
        <v>0</v>
      </c>
      <c r="F87">
        <f>исходные!$CG$34</f>
        <v>0</v>
      </c>
      <c r="G87">
        <f>исходные!$CG$35</f>
        <v>0</v>
      </c>
      <c r="H87">
        <f>исходные!$CG$36</f>
        <v>0</v>
      </c>
      <c r="I87">
        <f>исходные!$CG$37</f>
        <v>0</v>
      </c>
      <c r="J87">
        <f>исходные!$CG$38</f>
        <v>0</v>
      </c>
      <c r="K87">
        <f>исходные!$CG$39</f>
        <v>0</v>
      </c>
      <c r="L87">
        <f>исходные!$CG$40</f>
        <v>0</v>
      </c>
      <c r="M87">
        <f>исходные!$CG$41</f>
        <v>0</v>
      </c>
      <c r="N87" s="19">
        <f>исходные!$CG$42</f>
        <v>0</v>
      </c>
      <c r="Q87">
        <f t="shared" si="1"/>
        <v>85</v>
      </c>
      <c r="S87" s="18" t="s">
        <v>141</v>
      </c>
      <c r="T87">
        <f>исходные!$CG$47</f>
        <v>0</v>
      </c>
    </row>
    <row r="88" spans="1:20" ht="15.4" hidden="1" customHeight="1" x14ac:dyDescent="0.25">
      <c r="A88" s="55"/>
      <c r="B88">
        <f>исходные!$CH$4</f>
        <v>0</v>
      </c>
      <c r="C88">
        <f>исходные!$CI$31</f>
        <v>0</v>
      </c>
      <c r="D88">
        <f>исходные!$CI$32</f>
        <v>0</v>
      </c>
      <c r="E88">
        <f>исходные!$CI$33</f>
        <v>0</v>
      </c>
      <c r="F88">
        <f>исходные!$CI$34</f>
        <v>0</v>
      </c>
      <c r="G88">
        <f>исходные!$CI$35</f>
        <v>0</v>
      </c>
      <c r="H88">
        <f>исходные!$CI$36</f>
        <v>0</v>
      </c>
      <c r="I88">
        <f>исходные!$CI$37</f>
        <v>0</v>
      </c>
      <c r="J88">
        <f>исходные!$CI$38</f>
        <v>0</v>
      </c>
      <c r="K88">
        <f>исходные!$CI$39</f>
        <v>0</v>
      </c>
      <c r="L88">
        <f>исходные!$CI$40</f>
        <v>0</v>
      </c>
      <c r="M88">
        <f>исходные!$CI$41</f>
        <v>0</v>
      </c>
      <c r="N88" s="19">
        <f>исходные!$CI$42</f>
        <v>0</v>
      </c>
      <c r="Q88">
        <f t="shared" si="1"/>
        <v>87</v>
      </c>
      <c r="S88" s="18" t="s">
        <v>143</v>
      </c>
      <c r="T88">
        <f>исходные!$CI$47</f>
        <v>0</v>
      </c>
    </row>
    <row r="89" spans="1:20" ht="15.4" hidden="1" customHeight="1" x14ac:dyDescent="0.25">
      <c r="S89" s="18" t="s">
        <v>184</v>
      </c>
    </row>
    <row r="90" spans="1:20" ht="15.4" hidden="1" customHeight="1" x14ac:dyDescent="0.25"/>
    <row r="91" spans="1:20" ht="15.4" hidden="1" customHeight="1" x14ac:dyDescent="0.25"/>
    <row r="92" spans="1:20" ht="15.4" hidden="1" customHeight="1" x14ac:dyDescent="0.25"/>
    <row r="93" spans="1:20" ht="15.4" hidden="1" customHeight="1" x14ac:dyDescent="0.25"/>
    <row r="94" spans="1:20" ht="15.4" hidden="1" customHeight="1" x14ac:dyDescent="0.25"/>
    <row r="95" spans="1:20" ht="15.4" hidden="1" customHeight="1" x14ac:dyDescent="0.25"/>
    <row r="96" spans="1:20" ht="15.4" hidden="1" customHeight="1" x14ac:dyDescent="0.25"/>
    <row r="97" ht="15.4" hidden="1" customHeight="1" x14ac:dyDescent="0.25"/>
  </sheetData>
  <sheetProtection password="C60B" sheet="1" objects="1" scenarios="1"/>
  <mergeCells count="2">
    <mergeCell ref="A4:A46"/>
    <mergeCell ref="A47:A8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topLeftCell="A7" zoomScaleNormal="100" workbookViewId="0">
      <selection activeCell="M14" sqref="M14"/>
    </sheetView>
  </sheetViews>
  <sheetFormatPr defaultColWidth="0" defaultRowHeight="15" zeroHeight="1" x14ac:dyDescent="0.25"/>
  <cols>
    <col min="1" max="1" width="32.140625" style="21" customWidth="1"/>
    <col min="2" max="2" width="16" style="21" customWidth="1"/>
    <col min="3" max="6" width="11.28515625" style="21" customWidth="1"/>
    <col min="7" max="7" width="9.140625" style="21" customWidth="1"/>
    <col min="8" max="8" width="27.28515625" style="21" customWidth="1"/>
    <col min="9" max="12" width="16" style="21" customWidth="1"/>
    <col min="13" max="13" width="15.85546875" style="21" customWidth="1"/>
    <col min="14" max="16384" width="9.140625" style="21" hidden="1"/>
  </cols>
  <sheetData>
    <row r="1" spans="1:17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7" x14ac:dyDescent="0.25">
      <c r="A2" s="22" t="s">
        <v>0</v>
      </c>
      <c r="B2" s="56"/>
      <c r="C2" s="56"/>
      <c r="D2" s="56"/>
      <c r="E2" s="56"/>
      <c r="F2" s="56"/>
      <c r="G2" s="20"/>
      <c r="H2" s="20"/>
      <c r="I2" s="20"/>
      <c r="J2" s="20"/>
      <c r="K2" s="20"/>
      <c r="L2" s="20"/>
      <c r="M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7" ht="352.5" customHeight="1" x14ac:dyDescent="0.25">
      <c r="A4" s="22" t="s">
        <v>5</v>
      </c>
      <c r="B4" s="60" t="str">
        <f>IF(VLOOKUP(B2,параметры!$B$4:$O$47,14,FALSE)=0,"Данные для расчета параметров пока не представлены",VLOOKUP(B2,параметры!$B$4:$O$47,14,FALSE))</f>
        <v>Данные для расчета параметров пока не представлены</v>
      </c>
      <c r="C4" s="60"/>
      <c r="D4" s="60"/>
      <c r="E4" s="60"/>
      <c r="F4" s="60"/>
      <c r="G4" s="20"/>
      <c r="H4" s="20"/>
      <c r="I4" s="20"/>
      <c r="J4" s="20"/>
      <c r="K4" s="20"/>
      <c r="L4" s="20"/>
      <c r="M4" s="20"/>
    </row>
    <row r="5" spans="1:17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7" ht="32.25" customHeight="1" x14ac:dyDescent="0.25">
      <c r="A6" s="22" t="s">
        <v>162</v>
      </c>
      <c r="B6" s="56" t="s">
        <v>163</v>
      </c>
      <c r="C6" s="56"/>
      <c r="D6" s="56"/>
      <c r="E6" s="56"/>
      <c r="F6" s="56"/>
      <c r="G6" s="20"/>
      <c r="H6" s="20"/>
      <c r="I6" s="20"/>
      <c r="J6" s="20"/>
      <c r="K6" s="20"/>
      <c r="L6" s="20"/>
      <c r="M6" s="20"/>
    </row>
    <row r="7" spans="1:17" ht="34.15" customHeight="1" x14ac:dyDescent="0.25">
      <c r="A7" s="20"/>
      <c r="B7" s="20"/>
      <c r="C7" s="20"/>
      <c r="D7" s="20"/>
      <c r="E7" s="20"/>
      <c r="F7" s="20"/>
      <c r="G7" s="20"/>
      <c r="H7" s="57" t="s">
        <v>172</v>
      </c>
      <c r="I7" s="57"/>
      <c r="J7" s="57"/>
      <c r="K7" s="57"/>
      <c r="L7" s="57"/>
      <c r="M7" s="57"/>
      <c r="N7" s="23"/>
      <c r="O7" s="23"/>
      <c r="P7" s="23"/>
      <c r="Q7" s="23"/>
    </row>
    <row r="8" spans="1:17" ht="28.9" customHeight="1" x14ac:dyDescent="0.25">
      <c r="A8" s="58" t="s">
        <v>1</v>
      </c>
      <c r="B8" s="58"/>
      <c r="C8" s="58"/>
      <c r="D8" s="58"/>
      <c r="E8" s="58" t="s">
        <v>23</v>
      </c>
      <c r="F8" s="58"/>
      <c r="G8" s="20"/>
      <c r="H8" s="24" t="s">
        <v>148</v>
      </c>
      <c r="I8" s="25" t="s">
        <v>149</v>
      </c>
      <c r="J8" s="25" t="s">
        <v>150</v>
      </c>
      <c r="K8" s="25" t="s">
        <v>151</v>
      </c>
      <c r="L8" s="25" t="s">
        <v>152</v>
      </c>
      <c r="M8" s="25" t="s">
        <v>174</v>
      </c>
    </row>
    <row r="9" spans="1:17" ht="30" x14ac:dyDescent="0.25">
      <c r="A9" s="22" t="s">
        <v>2</v>
      </c>
      <c r="B9" s="22" t="s">
        <v>9</v>
      </c>
      <c r="C9" s="22" t="s">
        <v>3</v>
      </c>
      <c r="D9" s="22" t="s">
        <v>4</v>
      </c>
      <c r="E9" s="22" t="s">
        <v>3</v>
      </c>
      <c r="F9" s="22" t="s">
        <v>4</v>
      </c>
      <c r="G9" s="20"/>
      <c r="H9" s="25" t="s">
        <v>153</v>
      </c>
      <c r="I9" s="26" t="s">
        <v>26</v>
      </c>
      <c r="J9" s="26" t="s">
        <v>28</v>
      </c>
      <c r="K9" s="26" t="s">
        <v>30</v>
      </c>
      <c r="L9" s="26" t="s">
        <v>25</v>
      </c>
      <c r="M9" s="26" t="s">
        <v>31</v>
      </c>
    </row>
    <row r="10" spans="1:17" ht="45" x14ac:dyDescent="0.25">
      <c r="A10" s="22" t="s">
        <v>6</v>
      </c>
      <c r="B10" s="27" t="s">
        <v>10</v>
      </c>
      <c r="C10" s="22" t="str">
        <f>IF(B4="Данные для расчета параметров пока не представлены","-",IFERROR(IF(B6="сертификат не покрывает 50% тепловой энергии и 10% электроэнергии (задание на платные услуги)",VLOOKUP(B2,параметры!$B$4:$M$46,2,FALSE)*1000,IF(B6="все коммунальные расходы покрываются сертификатом",VLOOKUP(B2,параметры!$B$4:$M$46,3,FALSE)*1000,IF(B6="исключены все коммунальные услуги",VLOOKUP(B2,параметры!$B$4:$T$46,19,FALSE)*1000,"-"))),"-"))</f>
        <v>-</v>
      </c>
      <c r="D10" s="22" t="str">
        <f>IF(B4="Данные для расчета параметров пока не представлены","-",IFERROR(IF(B6="сертификат не покрывает 50% тепловой энергии и 10% электроэнергии (задание на платные услуги)",VLOOKUP(B2,параметры!$B$47:$M$88,2,FALSE)*1000,IF(B6="все коммунальные расходы покрываются сертификатом",VLOOKUP(B2,параметры!$B$47:$M$88,3,FALSE)*1000,IF(B6="исключены все коммунальные услуги",VLOOKUP(B2,параметры!$B$47:$T$88,19,FALSE)*1000,"-"))),"-"))</f>
        <v>-</v>
      </c>
      <c r="E10" s="26"/>
      <c r="F10" s="26">
        <v>2257</v>
      </c>
      <c r="G10" s="20"/>
      <c r="H10" s="25" t="s">
        <v>154</v>
      </c>
      <c r="I10" s="26">
        <v>0</v>
      </c>
      <c r="J10" s="26">
        <v>16</v>
      </c>
      <c r="K10" s="26">
        <v>144</v>
      </c>
      <c r="L10" s="26">
        <v>0</v>
      </c>
      <c r="M10" s="26">
        <v>0</v>
      </c>
    </row>
    <row r="11" spans="1:17" ht="60" x14ac:dyDescent="0.25">
      <c r="A11" s="22" t="s">
        <v>7</v>
      </c>
      <c r="B11" s="27" t="s">
        <v>11</v>
      </c>
      <c r="C11" s="22" t="str">
        <f>IF(B4="Данные для расчета параметров пока не представлены","-",IFERROR(VLOOKUP(B2,параметры!$B$4:$M$46,4,FALSE)*1000,"-"))</f>
        <v>-</v>
      </c>
      <c r="D11" s="22" t="str">
        <f>IF(B4="Данные для расчета параметров пока не представлены","-",IFERROR(VLOOKUP(B2,параметры!$B$47:$M$88,4,FALSE)*1000,"-"))</f>
        <v>-</v>
      </c>
      <c r="E11" s="26"/>
      <c r="F11" s="26">
        <v>6000</v>
      </c>
      <c r="G11" s="20"/>
      <c r="H11" s="25" t="s">
        <v>160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</row>
    <row r="12" spans="1:17" ht="105" x14ac:dyDescent="0.25">
      <c r="A12" s="22" t="s">
        <v>8</v>
      </c>
      <c r="B12" s="27" t="s">
        <v>11</v>
      </c>
      <c r="C12" s="22" t="str">
        <f>IF(B4="Данные для расчета параметров пока не представлены","-",IFERROR(VLOOKUP(B2,параметры!$B$4:$M$46,5,FALSE)*1000,"-"))</f>
        <v>-</v>
      </c>
      <c r="D12" s="22" t="str">
        <f>IF(B4="Данные для расчета параметров пока не представлены","-",IFERROR(VLOOKUP(B2,параметры!$B$47:$M$88,5,FALSE)*1000,"-"))</f>
        <v>-</v>
      </c>
      <c r="E12" s="26"/>
      <c r="F12" s="26">
        <v>1600</v>
      </c>
      <c r="G12" s="20"/>
      <c r="H12" s="25" t="s">
        <v>155</v>
      </c>
      <c r="I12" s="25">
        <f>I10-I11</f>
        <v>0</v>
      </c>
      <c r="J12" s="25">
        <f>J10-J11</f>
        <v>16</v>
      </c>
      <c r="K12" s="25">
        <f>K10-K11</f>
        <v>144</v>
      </c>
      <c r="L12" s="25">
        <f>L10-L11</f>
        <v>0</v>
      </c>
      <c r="M12" s="25">
        <f>M10-M11</f>
        <v>0</v>
      </c>
    </row>
    <row r="13" spans="1:17" ht="147" x14ac:dyDescent="0.25">
      <c r="A13" s="22" t="s">
        <v>178</v>
      </c>
      <c r="B13" s="27" t="s">
        <v>176</v>
      </c>
      <c r="C13" s="22" t="str">
        <f>IF(B4="Данные для расчета параметров пока не представлены","-",IFERROR(VLOOKUP(B2,параметры!$B$4:$O$46,13,FALSE)*1000,"-"))</f>
        <v>-</v>
      </c>
      <c r="D13" s="22" t="str">
        <f>IF(B4="Данные для расчета параметров пока не представлены","-",IFERROR(VLOOKUP(B2,параметры!$B$47:$O$88,13,FALSE)*1000,"-"))</f>
        <v>-</v>
      </c>
      <c r="E13" s="26"/>
      <c r="F13" s="26">
        <v>0</v>
      </c>
      <c r="G13" s="20"/>
      <c r="H13" s="25" t="s">
        <v>156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</row>
    <row r="14" spans="1:17" ht="45" x14ac:dyDescent="0.25">
      <c r="A14" s="22" t="s">
        <v>19</v>
      </c>
      <c r="B14" s="27" t="s">
        <v>18</v>
      </c>
      <c r="C14" s="22" t="str">
        <f>IF(B4="Данные для расчета параметров пока не представлены","-",IFERROR(VLOOKUP(B2,параметры!$B$4:$M$46,6,FALSE)*1000,"-"))</f>
        <v>-</v>
      </c>
      <c r="D14" s="22" t="str">
        <f>IF(B4="Данные для расчета параметров пока не представлены","-",IFERROR(VLOOKUP(B2,параметры!$B$47:$M$88,6,FALSE)*1000,"-"))</f>
        <v>-</v>
      </c>
      <c r="E14" s="26"/>
      <c r="F14" s="26">
        <v>27556</v>
      </c>
      <c r="G14" s="20"/>
      <c r="H14" s="25" t="s">
        <v>157</v>
      </c>
      <c r="I14" s="26">
        <v>0</v>
      </c>
      <c r="J14" s="26">
        <v>10</v>
      </c>
      <c r="K14" s="26">
        <v>10</v>
      </c>
      <c r="L14" s="26">
        <v>0</v>
      </c>
      <c r="M14" s="26">
        <v>0</v>
      </c>
    </row>
    <row r="15" spans="1:17" ht="45" x14ac:dyDescent="0.25">
      <c r="A15" s="22" t="s">
        <v>12</v>
      </c>
      <c r="B15" s="27" t="s">
        <v>20</v>
      </c>
      <c r="C15" s="22" t="str">
        <f>IF(B4="Данные для расчета параметров пока не представлены","-",VLOOKUP(B2,параметры!$B$4:$M$46,7,FALSE))</f>
        <v>-</v>
      </c>
      <c r="D15" s="22" t="str">
        <f>IF(B4="Данные для расчета параметров пока не представлены","-",VLOOKUP(B2,параметры!$B$47:$M$88,7,FALSE))</f>
        <v>-</v>
      </c>
      <c r="E15" s="26"/>
      <c r="F15" s="26">
        <v>1</v>
      </c>
      <c r="G15" s="20"/>
      <c r="H15" s="25" t="s">
        <v>158</v>
      </c>
      <c r="I15" s="26">
        <v>0</v>
      </c>
      <c r="J15" s="26">
        <v>18</v>
      </c>
      <c r="K15" s="26">
        <v>18</v>
      </c>
      <c r="L15" s="26">
        <v>0</v>
      </c>
      <c r="M15" s="26">
        <v>0</v>
      </c>
    </row>
    <row r="16" spans="1:17" ht="30" x14ac:dyDescent="0.25">
      <c r="A16" s="22" t="s">
        <v>13</v>
      </c>
      <c r="B16" s="27" t="s">
        <v>20</v>
      </c>
      <c r="C16" s="22" t="str">
        <f>IF(B4="Данные для расчета параметров пока не представлены","-",VLOOKUP(B2,параметры!$B$4:$M$46,8,FALSE))</f>
        <v>-</v>
      </c>
      <c r="D16" s="22" t="str">
        <f>IF(B4="Данные для расчета параметров пока не представлены","-",VLOOKUP(B2,параметры!$B$47:$M$88,8,FALSE))</f>
        <v>-</v>
      </c>
      <c r="E16" s="26"/>
      <c r="F16" s="26">
        <v>0.34</v>
      </c>
      <c r="G16" s="20"/>
      <c r="H16" s="25" t="s">
        <v>159</v>
      </c>
      <c r="I16" s="26" t="s">
        <v>265</v>
      </c>
      <c r="J16" s="26" t="s">
        <v>265</v>
      </c>
      <c r="K16" s="26" t="s">
        <v>265</v>
      </c>
      <c r="L16" s="26" t="s">
        <v>265</v>
      </c>
      <c r="M16" s="26" t="s">
        <v>265</v>
      </c>
    </row>
    <row r="17" spans="1:15" ht="35.25" customHeight="1" x14ac:dyDescent="0.25">
      <c r="A17" s="22" t="s">
        <v>14</v>
      </c>
      <c r="B17" s="27" t="s">
        <v>20</v>
      </c>
      <c r="C17" s="22" t="str">
        <f>IF(B4="Данные для расчета параметров пока не представлены","-",VLOOKUP(B2,параметры!$B$4:$M$46,9,FALSE))</f>
        <v>-</v>
      </c>
      <c r="D17" s="22" t="str">
        <f>IF(B4="Данные для расчета параметров пока не представлены","-",VLOOKUP(B2,параметры!$B$47:$M$88,9,FALSE))</f>
        <v>-</v>
      </c>
      <c r="E17" s="26"/>
      <c r="F17" s="26">
        <v>1.302</v>
      </c>
      <c r="G17" s="20"/>
      <c r="H17" s="29" t="s">
        <v>173</v>
      </c>
      <c r="I17" s="30" t="str">
        <f>IFERROR(IF(I16="городская",(((I10+I13)/AVERAGE(I14:I15)+I11)/($E$20*$E$35*$E$32))*($E$14*$E$15*(1+$E$16)*$E$17*$E$18)+((I10+I11*AVERAGE(I14:I15))/($E$19*AVERAGE(I14:I15)))*(VLOOKUP(I9,$A$23:$F$29,5,FALSE)+$E$10)+(((I10+I13+I11*AVERAGE(I14:I15))/AVERAGE(I14:I15)))*(($E$18*$E$15)/($E$31*$E$35*$E$20))*($E$11/$E$33+$E$12/$E$34+$E$13*(1+$E$16)),IF(I16="сельская",(((I10+I13)/AVERAGE(I14:I15)+I11)/($F$20*$F$35*$F$32))*($F$14*$F$15*(1+$F$16)*$F$17*$F$18)+((I10+I11*AVERAGE(I14:I15))/($F$19*AVERAGE(I14:I15)))*(VLOOKUP(I9,$A$23:$F$29,6,FALSE)+$F$10)+(((I10+I13+I11*AVERAGE(I14:I15))/AVERAGE(I14:I15)))*(($F$18*$F$15)/($F$31*$F$35*$F$20))*($F$11/$F$33+$F$12/$F$34+$F$13*(1+$F$16)),"-")),"проверьте данные")</f>
        <v>проверьте данные</v>
      </c>
      <c r="J17" s="30">
        <f>IFERROR(IF(J16="городская",(((J10+J13)/AVERAGE(J14:J15)+J11)/($E$20*$E$35*$E$32))*($E$14*$E$15*(1+$E$16)*$E$17*$E$18)+((J10+J11*AVERAGE(J14:J15))/($E$19*AVERAGE(J14:J15)))*(VLOOKUP(J9,$A$23:$F$29,5,FALSE)+$E$10)+(((J10+J13+J11*AVERAGE(J14:J15))/AVERAGE(J14:J15)))*(($E$18*$E$15)/($E$31*$E$35*$E$20))*($E$11/$E$33+$E$12/$E$34+$E$13*(1+$E$16)),IF(J16="сельская",(((J10+J13)/AVERAGE(J14:J15)+J11)/($F$20*$F$35*$F$32))*($F$14*$F$15*(1+$F$16)*$F$17*$F$18)+((J10+J11*AVERAGE(J14:J15))/($F$19*AVERAGE(J14:J15)))*(VLOOKUP(J9,$A$23:$F$29,6,FALSE)+$F$10)+(((J10+J13+J11*AVERAGE(J14:J15))/AVERAGE(J14:J15)))*(($F$18*$F$15)/($F$31*$F$35*$F$20))*($F$11/$F$33+$F$12/$F$34+$F$13*(1+$F$16)),"-")),"проверьте данные")</f>
        <v>812.97552928245148</v>
      </c>
      <c r="K17" s="30">
        <f>IFERROR(IF(K16="городская",(((K10+K13)/AVERAGE(K14:K15)+K11)/($E$20*$E$35*$E$32))*($E$14*$E$15*(1+$E$16)*$E$17*$E$18)+((K10+K11*AVERAGE(K14:K15))/($E$19*AVERAGE(K14:K15)))*(VLOOKUP(K9,$A$23:$F$29,5,FALSE)+$E$10)+(((K10+K13+K11*AVERAGE(K14:K15))/AVERAGE(K14:K15)))*(($E$18*$E$15)/($E$31*$E$35*$E$20))*($E$11/$E$33+$E$12/$E$34+$E$13*(1+$E$16)),IF(K16="сельская",(((K10+K13)/AVERAGE(K14:K15)+K11)/($F$20*$F$35*$F$32))*($F$14*$F$15*(1+$F$16)*$F$17*$F$18)+((K10+K11*AVERAGE(K14:K15))/($F$19*AVERAGE(K14:K15)))*(VLOOKUP(K9,$A$23:$F$29,6,FALSE)+$F$10)+(((K10+K13+K11*AVERAGE(K14:K15))/AVERAGE(K14:K15)))*(($F$18*$F$15)/($F$31*$F$35*$F$20))*($F$11/$F$33+$F$12/$F$34+$F$13*(1+$F$16)),"-")),"проверьте данные")</f>
        <v>7285.3348655828813</v>
      </c>
      <c r="L17" s="30" t="str">
        <f>IFERROR(IF(L16="городская",(((L10+L13)/AVERAGE(L14:L15)+L11)/($E$20*$E$35*$E$32))*($E$14*$E$15*(1+$E$16)*$E$17*$E$18)+((L10+L11*AVERAGE(L14:L15))/($E$19*AVERAGE(L14:L15)))*(VLOOKUP(L9,$A$23:$F$29,5,FALSE)+$E$10)+(((L10+L13+L11*AVERAGE(L14:L15))/AVERAGE(L14:L15)))*(($E$18*$E$15)/($E$31*$E$35*$E$20))*($E$11/$E$33+$E$12/$E$34+$E$13*(1+$E$16)),IF(L16="сельская",(((L10+L13)/AVERAGE(L14:L15)+L11)/($F$20*$F$35*$F$32))*($F$14*$F$15*(1+$F$16)*$F$17*$F$18)+((L10+L11*AVERAGE(L14:L15))/($F$19*AVERAGE(L14:L15)))*(VLOOKUP(L9,$A$23:$F$29,6,FALSE)+$F$10)+(((L10+L13+L11*AVERAGE(L14:L15))/AVERAGE(L14:L15)))*(($F$18*$F$15)/($F$31*$F$35*$F$20))*($F$11/$F$33+$F$12/$F$34+$F$13*(1+$F$16)),"-")),"проверьте данные")</f>
        <v>проверьте данные</v>
      </c>
      <c r="M17" s="30" t="str">
        <f>IFERROR(IF(M16="городская",(((M10+M13)/AVERAGE(M14:M15)+M11)/($E$20*$E$35*$E$32))*($E$14*$E$15*(1+$E$16)*$E$17*$E$18)+((M10+M11*AVERAGE(M14:M15))/($E$19*AVERAGE(M14:M15)))*(VLOOKUP(M9,$A$23:$F$29,5,FALSE)+$E$10)+(((M10+M13+M11*AVERAGE(M14:M15))/AVERAGE(M14:M15)))*(($E$18*$E$15)/($E$31*$E$35*$E$20))*($E$11/$E$33+$E$12/$E$34+$E$13*(1+$E$16)),IF(M16="сельская",(((M10+M13)/AVERAGE(M14:M15)+M11)/($F$20*$F$35*$F$32))*($F$14*$F$15*(1+$F$16)*$F$17*$F$18)+((M10+M11*AVERAGE(M14:M15))/($F$19*AVERAGE(M14:M15)))*(VLOOKUP(M9,$A$23:$F$29,6,FALSE)+$F$10)+(((M10+M13+M11*AVERAGE(M14:M15))/AVERAGE(M14:M15)))*(($F$18*$F$15)/($F$31*$F$35*$F$20))*($F$11/$F$33+$F$12/$F$34+$F$13*(1+$F$16)),"-")),"проверьте данные")</f>
        <v>проверьте данные</v>
      </c>
      <c r="N17" s="20"/>
      <c r="O17" s="20"/>
    </row>
    <row r="18" spans="1:15" x14ac:dyDescent="0.25">
      <c r="A18" s="22" t="s">
        <v>15</v>
      </c>
      <c r="B18" s="27" t="s">
        <v>20</v>
      </c>
      <c r="C18" s="22" t="str">
        <f>IF(B4="Данные для расчета параметров пока не представлены","-",VLOOKUP(B2,параметры!$B$4:$M$46,10,FALSE))</f>
        <v>-</v>
      </c>
      <c r="D18" s="22" t="str">
        <f>IF(B4="Данные для расчета параметров пока не представлены","-",VLOOKUP(B2,параметры!$B$47:$M$88,10,FALSE))</f>
        <v>-</v>
      </c>
      <c r="E18" s="26"/>
      <c r="F18" s="26">
        <v>1.1499999999999999</v>
      </c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30" x14ac:dyDescent="0.25">
      <c r="A19" s="22" t="s">
        <v>197</v>
      </c>
      <c r="B19" s="27" t="s">
        <v>21</v>
      </c>
      <c r="C19" s="22" t="str">
        <f>IF(B4="Данные для расчета параметров пока не представлены","-",VLOOKUP(B2,параметры!$B$4:$M$46,11,FALSE))</f>
        <v>-</v>
      </c>
      <c r="D19" s="22" t="str">
        <f>IF(B4="Данные для расчета параметров пока не представлены","-",VLOOKUP(B2,параметры!$B$47:$M$88,11,FALSE))</f>
        <v>-</v>
      </c>
      <c r="E19" s="26"/>
      <c r="F19" s="26">
        <v>35</v>
      </c>
      <c r="G19" s="20"/>
      <c r="H19" s="20" t="s">
        <v>179</v>
      </c>
      <c r="I19" s="34" t="str">
        <f>IFERROR(IF(I16="городская",(((I10+I13)/AVERAGE(I14:I15)+I11)/($E$20*$E$35*$E$32))*($E$14*$E$15*(1)*$E$17*$E$18),IF(I16="сельская",(((I10+I13)/AVERAGE(I14:I15)+I11)/($F$20*$F$35*$F$32))*($F$14*$F$15*(1)*$F$17*$F$18))),"проверьте данные")</f>
        <v>проверьте данные</v>
      </c>
      <c r="J19" s="34">
        <f>IFERROR(IF(J16="городская",(((J10+J13)/AVERAGE(J14:J15)+J11)/($E$20*$E$35*$E$32))*($E$14*$E$15*(1)*$E$17*$E$18),IF(J16="сельская",(((J10+J13)/AVERAGE(J14:J15)+J11)/($F$20*$F$35*$F$32))*($F$14*$F$15*(1)*$F$17*$F$18))),"проверьте данные")</f>
        <v>502.42751566295874</v>
      </c>
      <c r="K19" s="34">
        <f>IFERROR(IF(K16="городская",(((K10+K13)/AVERAGE(K14:K15)+K11)/($E$20*$E$35*$E$32))*($E$14*$E$15*(1)*$E$17*$E$18),IF(K16="сельская",(((K10+K13)/AVERAGE(K14:K15)+K11)/($F$20*$F$35*$F$32))*($F$14*$F$15*(1)*$F$17*$F$18))),"проверьте данные")</f>
        <v>4521.8476409666291</v>
      </c>
      <c r="L19" s="34" t="str">
        <f>IFERROR(IF(L16="городская",(((L10+L13)/AVERAGE(L14:L15)+L11)/($E$20*$E$35*$E$32))*($E$14*$E$15*(1)*$E$17*$E$18),IF(L16="сельская",(((L10+L13)/AVERAGE(L14:L15)+L11)/($F$20*$F$35*$F$32))*($F$14*$F$15*(1)*$F$17*$F$18))),"проверьте данные")</f>
        <v>проверьте данные</v>
      </c>
      <c r="M19" s="34" t="str">
        <f>IFERROR(IF(M16="городская",(((M10+M13)/AVERAGE(M14:M15)+M11)/($E$20*$E$35*$E$32))*($E$14*$E$15*(1)*$E$17*$E$18),IF(M16="сельская",(((M10+M13)/AVERAGE(M14:M15)+M11)/($F$20*$F$35*$F$32))*($F$14*$F$15*(1)*$F$17*$F$18))),"проверьте данные")</f>
        <v>проверьте данные</v>
      </c>
      <c r="N19" s="20"/>
      <c r="O19" s="20"/>
    </row>
    <row r="20" spans="1:15" ht="30" x14ac:dyDescent="0.25">
      <c r="A20" s="22" t="s">
        <v>17</v>
      </c>
      <c r="B20" s="27" t="s">
        <v>22</v>
      </c>
      <c r="C20" s="22" t="str">
        <f>IF(B4="Данные для расчета параметров пока не представлены","-",VLOOKUP(B2,параметры!$B$4:$M$46,12,FALSE))</f>
        <v>-</v>
      </c>
      <c r="D20" s="22" t="str">
        <f>IF(B4="Данные для расчета параметров пока не представлены","-",VLOOKUP(B2,параметры!$B$47:$M$88,12,FALSE))</f>
        <v>-</v>
      </c>
      <c r="E20" s="26"/>
      <c r="F20" s="26">
        <v>1.2</v>
      </c>
      <c r="G20" s="20"/>
      <c r="H20" s="20" t="s">
        <v>180</v>
      </c>
      <c r="I20" s="34" t="str">
        <f>IFERROR(IF(I16="городская",(((I10+I13)/AVERAGE(I14:I15)+I11)/($E$20*$E$35*$E$32))*($E$14*$E$15*($E$16)*$E$17*$E$18),IF(I16="сельская",(((I10+I13)/AVERAGE(I14:I15)+I11)/($F$20*$F$35*$F$32))*($F$14*$F$15*($F$16)*$F$17*$F$18))),"проверьте данные")</f>
        <v>проверьте данные</v>
      </c>
      <c r="J20" s="34">
        <f>IFERROR(IF(J16="городская",(((J10+J13)/AVERAGE(J14:J15)+J11)/($E$20*$E$35*$E$32))*($E$14*$E$15*($E$16)*$E$17*$E$18),IF(J16="сельская",(((J10+J13)/AVERAGE(J14:J15)+J11)/($F$20*$F$35*$F$32))*($F$14*$F$15*($F$16)*$F$17*$F$18))),"проверьте данные")</f>
        <v>170.82535532540598</v>
      </c>
      <c r="K20" s="34">
        <f>IFERROR(IF(K16="городская",(((K10+K13)/AVERAGE(K14:K15)+K11)/($E$20*$E$35*$E$32))*($E$14*$E$15*($E$16)*$E$17*$E$18),IF(K16="сельская",(((K10+K13)/AVERAGE(K14:K15)+K11)/($F$20*$F$35*$F$32))*($F$14*$F$15*($F$16)*$F$17*$F$18))),"проверьте данные")</f>
        <v>1537.4281979286541</v>
      </c>
      <c r="L20" s="34" t="str">
        <f>IFERROR(IF(L16="городская",(((L10+L13)/AVERAGE(L14:L15)+L11)/($E$20*$E$35*$E$32))*($E$14*$E$15*($E$16)*$E$17*$E$18),IF(L16="сельская",(((L10+L13)/AVERAGE(L14:L15)+L11)/($F$20*$F$35*$F$32))*($F$14*$F$15*($F$16)*$F$17*$F$18))),"проверьте данные")</f>
        <v>проверьте данные</v>
      </c>
      <c r="M20" s="34" t="str">
        <f>IFERROR(IF(M16="городская",(((M10+M13)/AVERAGE(M14:M15)+M11)/($E$20*$E$35*$E$32))*($E$14*$E$15*($E$16)*$E$17*$E$18),IF(M16="сельская",(((M10+M13)/AVERAGE(M14:M15)+M11)/($F$20*$F$35*$F$32))*($F$14*$F$15*($F$16)*$F$17*$F$18))),"проверьте данные")</f>
        <v>проверьте данные</v>
      </c>
      <c r="N20" s="20"/>
      <c r="O20" s="20"/>
    </row>
    <row r="21" spans="1:15" ht="39.6" customHeight="1" x14ac:dyDescent="0.25">
      <c r="A21" s="58" t="s">
        <v>187</v>
      </c>
      <c r="B21" s="58"/>
      <c r="C21" s="58"/>
      <c r="D21" s="58"/>
      <c r="E21" s="58"/>
      <c r="F21" s="58"/>
      <c r="G21" s="20"/>
      <c r="H21" s="20" t="s">
        <v>181</v>
      </c>
      <c r="I21" s="34" t="str">
        <f>IFERROR(IF(I16="городская",(((I10+I13+I11*AVERAGE(I14:I15))/AVERAGE(I14:I15)))*(($E$18*$E$15)/($E$31*$E$35*$E$20))*($E$11/$E$33+$E$12/$E$34),IF(I16="сельская",(((I10+I13+I11*AVERAGE(I14:I15))/AVERAGE(I14:I15)))*(($F$18*$F$15)/($F$31*$F$35*$F$20))*($F$11/$F$33+$F$12/$F$34),"-")),"проверьте данные")</f>
        <v>проверьте данные</v>
      </c>
      <c r="J21" s="34">
        <f>IFERROR(IF(J16="городская",(((J10+J13+J11*AVERAGE(J14:J15))/AVERAGE(J14:J15)))*(($E$18*$E$15)/($E$31*$E$35*$E$20))*($E$11/$E$33+$E$12/$E$34),IF(J16="сельская",(((J10+J13+J11*AVERAGE(J14:J15))/AVERAGE(J14:J15)))*(($F$18*$F$15)/($F$31*$F$35*$F$20))*($F$11/$F$33+$F$12/$F$34),"-")),"проверьте данные")</f>
        <v>4.2124542124542117</v>
      </c>
      <c r="K21" s="34">
        <f>IFERROR(IF(K16="городская",(((K10+K13+K11*AVERAGE(K14:K15))/AVERAGE(K14:K15)))*(($E$18*$E$15)/($E$31*$E$35*$E$20))*($E$11/$E$33+$E$12/$E$34),IF(K16="сельская",(((K10+K13+K11*AVERAGE(K14:K15))/AVERAGE(K14:K15)))*(($F$18*$F$15)/($F$31*$F$35*$F$20))*($F$11/$F$33+$F$12/$F$34),"-")),"проверьте данные")</f>
        <v>37.912087912087912</v>
      </c>
      <c r="L21" s="34" t="str">
        <f>IFERROR(IF(L16="городская",(((L10+L13+L11*AVERAGE(L14:L15))/AVERAGE(L14:L15)))*(($E$18*$E$15)/($E$31*$E$35*$E$20))*($E$11/$E$33+$E$12/$E$34),IF(L16="сельская",(((L10+L13+L11*AVERAGE(L14:L15))/AVERAGE(L14:L15)))*(($F$18*$F$15)/($F$31*$F$35*$F$20))*($F$11/$F$33+$F$12/$F$34),"-")),"проверьте данные")</f>
        <v>проверьте данные</v>
      </c>
      <c r="M21" s="34" t="str">
        <f>IFERROR(IF(M16="городская",(((M10+M13+M11*AVERAGE(M14:M15))/AVERAGE(M14:M15)))*(($E$18*$E$15)/($E$31*$E$35*$E$20))*($E$11/$E$33+$E$12/$E$34),IF(M16="сельская",(((M10+M13+M11*AVERAGE(M14:M15))/AVERAGE(M14:M15)))*(($F$18*$F$15)/($F$31*$F$35*$F$20))*($F$11/$F$33+$F$12/$F$34),"-")),"проверьте данные")</f>
        <v>проверьте данные</v>
      </c>
      <c r="N21" s="20"/>
      <c r="O21" s="20"/>
    </row>
    <row r="22" spans="1:15" ht="30" x14ac:dyDescent="0.25">
      <c r="A22" s="22" t="s">
        <v>24</v>
      </c>
      <c r="B22" s="27" t="s">
        <v>9</v>
      </c>
      <c r="C22" s="22" t="s">
        <v>3</v>
      </c>
      <c r="D22" s="22" t="s">
        <v>4</v>
      </c>
      <c r="E22" s="22" t="s">
        <v>3</v>
      </c>
      <c r="F22" s="22" t="s">
        <v>4</v>
      </c>
      <c r="G22" s="20"/>
      <c r="H22" s="20" t="s">
        <v>182</v>
      </c>
      <c r="I22" s="34" t="str">
        <f>IFERROR(IF(I16="городская",((I10+I11*AVERAGE(I14:I15))/($E$19*AVERAGE(I14:I15)))*($E$10),IF(I16="сельская",((I10+I11*AVERAGE(I14:I15))/($F$19*AVERAGE(I14:I15)))*($F$10),"-")),"проверьте данные")</f>
        <v>проверьте данные</v>
      </c>
      <c r="J22" s="34">
        <f>IFERROR(IF(J16="городская",((J10+J11*AVERAGE(J14:J15))/($E$19*AVERAGE(J14:J15)))*($E$10),IF(J16="сельская",((J10+J11*AVERAGE(J14:J15))/($F$19*AVERAGE(J14:J15)))*($F$10),"-")),"проверьте данные")</f>
        <v>73.697959183673476</v>
      </c>
      <c r="K22" s="34">
        <f>IFERROR(IF(K16="городская",((K10+K11*AVERAGE(K14:K15))/($E$19*AVERAGE(K14:K15)))*($E$10),IF(K16="сельская",((K10+K11*AVERAGE(K14:K15))/($F$19*AVERAGE(K14:K15)))*($F$10),"-")),"проверьте данные")</f>
        <v>663.28163265306125</v>
      </c>
      <c r="L22" s="34" t="str">
        <f>IFERROR(IF(L16="городская",((L10+L11*AVERAGE(L14:L15))/($E$19*AVERAGE(L14:L15)))*($E$10),IF(L16="сельская",((L10+L11*AVERAGE(L14:L15))/($F$19*AVERAGE(L14:L15)))*($F$10),"-")),"проверьте данные")</f>
        <v>проверьте данные</v>
      </c>
      <c r="M22" s="34" t="str">
        <f>IFERROR(IF(M16="городская",((M10+M11*AVERAGE(M14:M15))/($E$19*AVERAGE(M14:M15)))*($E$10),IF(M16="сельская",((M10+M11*AVERAGE(M14:M15))/($F$19*AVERAGE(M14:M15)))*($F$10),"-")),"проверьте данные")</f>
        <v>проверьте данные</v>
      </c>
      <c r="N22" s="20"/>
      <c r="O22" s="20"/>
    </row>
    <row r="23" spans="1:15" ht="30" x14ac:dyDescent="0.25">
      <c r="A23" s="28" t="s">
        <v>25</v>
      </c>
      <c r="B23" s="27" t="s">
        <v>10</v>
      </c>
      <c r="C23" s="22">
        <f>ROUND(C39/D39/E39,0)</f>
        <v>3227</v>
      </c>
      <c r="D23" s="22">
        <f>C23</f>
        <v>3227</v>
      </c>
      <c r="E23" s="26"/>
      <c r="F23" s="26">
        <v>3227</v>
      </c>
      <c r="G23" s="20"/>
      <c r="H23" s="20" t="s">
        <v>183</v>
      </c>
      <c r="I23" s="34" t="str">
        <f>IFERROR(IF(I16="городская",((I10+I11*AVERAGE(I14:I15))/($E$19*AVERAGE(I14:I15)))*(VLOOKUP(I9,$A$23:$F$29,5,FALSE)),IF(I16="сельская",((I10+I11*AVERAGE(I14:I15))/($F$19*AVERAGE(I14:I15)))*(VLOOKUP(I9,$A$23:$F$29,6,FALSE)),"-")),"проверьте данные")</f>
        <v>проверьте данные</v>
      </c>
      <c r="J23" s="34">
        <f>IFERROR(IF(J16="городская",((J10+J11*AVERAGE(J14:J15))/($E$19*AVERAGE(J14:J15)))*(VLOOKUP(J9,$A$23:$F$29,5,FALSE)),IF(J16="сельская",((J10+J11*AVERAGE(J14:J15))/($F$19*AVERAGE(J14:J15)))*(VLOOKUP(J9,$A$23:$F$29,6,FALSE)),"-")),"проверьте данные")</f>
        <v>61.812244897959189</v>
      </c>
      <c r="K23" s="34">
        <f>IFERROR(IF(K16="городская",((K10+K11*AVERAGE(K14:K15))/($E$19*AVERAGE(K14:K15)))*(VLOOKUP(K9,$A$23:$F$29,5,FALSE)),IF(K16="сельская",((K10+K11*AVERAGE(K14:K15))/($F$19*AVERAGE(K14:K15)))*(VLOOKUP(K9,$A$23:$F$29,6,FALSE)),"-")),"проверьте данные")</f>
        <v>524.86530612244906</v>
      </c>
      <c r="L23" s="34" t="str">
        <f>IFERROR(IF(L16="городская",((L10+L11*AVERAGE(L14:L15))/($E$19*AVERAGE(L14:L15)))*(VLOOKUP(L9,$A$23:$F$29,5,FALSE)),IF(L16="сельская",((L10+L11*AVERAGE(L14:L15))/($F$19*AVERAGE(L14:L15)))*(VLOOKUP(L9,$A$23:$F$29,6,FALSE)),"-")),"проверьте данные")</f>
        <v>проверьте данные</v>
      </c>
      <c r="M23" s="34" t="str">
        <f>IFERROR(IF(M16="городская",((M10+M11*AVERAGE(M14:M15))/($E$19*AVERAGE(M14:M15)))*(VLOOKUP(M9,$A$23:$F$29,5,FALSE)),IF(M16="сельская",((M10+M11*AVERAGE(M14:M15))/($F$19*AVERAGE(M14:M15)))*(VLOOKUP(M9,$A$23:$F$29,6,FALSE)),"-")),"проверьте данные")</f>
        <v>проверьте данные</v>
      </c>
      <c r="N23" s="20"/>
      <c r="O23" s="20"/>
    </row>
    <row r="24" spans="1:15" ht="30" x14ac:dyDescent="0.25">
      <c r="A24" s="28" t="s">
        <v>26</v>
      </c>
      <c r="B24" s="27" t="s">
        <v>10</v>
      </c>
      <c r="C24" s="22">
        <f t="shared" ref="C24:C29" si="0">ROUND(C40/D40/E40,0)</f>
        <v>2708</v>
      </c>
      <c r="D24" s="22">
        <f t="shared" ref="D24:D29" si="1">C24</f>
        <v>2708</v>
      </c>
      <c r="E24" s="26"/>
      <c r="F24" s="26">
        <v>2708</v>
      </c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30" x14ac:dyDescent="0.25">
      <c r="A25" s="28" t="s">
        <v>31</v>
      </c>
      <c r="B25" s="27" t="s">
        <v>10</v>
      </c>
      <c r="C25" s="22">
        <f t="shared" si="0"/>
        <v>2250</v>
      </c>
      <c r="D25" s="22">
        <f t="shared" si="1"/>
        <v>2250</v>
      </c>
      <c r="E25" s="26"/>
      <c r="F25" s="26">
        <v>2250</v>
      </c>
      <c r="G25" s="20"/>
      <c r="H25" s="20"/>
      <c r="I25" s="20"/>
      <c r="J25" s="20"/>
      <c r="K25" s="20"/>
      <c r="L25" s="20"/>
      <c r="M25" s="20"/>
      <c r="N25" s="20"/>
      <c r="O25" s="20"/>
    </row>
    <row r="26" spans="1:15" ht="30" x14ac:dyDescent="0.25">
      <c r="A26" s="28" t="s">
        <v>27</v>
      </c>
      <c r="B26" s="27" t="s">
        <v>10</v>
      </c>
      <c r="C26" s="22">
        <f t="shared" si="0"/>
        <v>2000</v>
      </c>
      <c r="D26" s="22">
        <f t="shared" si="1"/>
        <v>2000</v>
      </c>
      <c r="E26" s="26"/>
      <c r="F26" s="26">
        <v>2000</v>
      </c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30" x14ac:dyDescent="0.25">
      <c r="A27" s="28" t="s">
        <v>28</v>
      </c>
      <c r="B27" s="27" t="s">
        <v>10</v>
      </c>
      <c r="C27" s="22">
        <f t="shared" si="0"/>
        <v>1893</v>
      </c>
      <c r="D27" s="22">
        <f t="shared" si="1"/>
        <v>1893</v>
      </c>
      <c r="E27" s="26"/>
      <c r="F27" s="26">
        <v>1893</v>
      </c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30" x14ac:dyDescent="0.25">
      <c r="A28" s="28" t="s">
        <v>29</v>
      </c>
      <c r="B28" s="27" t="s">
        <v>10</v>
      </c>
      <c r="C28" s="22">
        <f t="shared" si="0"/>
        <v>2292</v>
      </c>
      <c r="D28" s="22">
        <f t="shared" si="1"/>
        <v>2292</v>
      </c>
      <c r="E28" s="26"/>
      <c r="F28" s="26">
        <v>2292</v>
      </c>
      <c r="G28" s="20"/>
      <c r="H28" s="20"/>
      <c r="I28" s="20"/>
      <c r="J28" s="20"/>
      <c r="K28" s="20"/>
      <c r="L28" s="20"/>
      <c r="M28" s="20"/>
      <c r="N28" s="20"/>
      <c r="O28" s="20"/>
    </row>
    <row r="29" spans="1:15" ht="29.65" customHeight="1" x14ac:dyDescent="0.25">
      <c r="A29" s="28" t="s">
        <v>30</v>
      </c>
      <c r="B29" s="27" t="s">
        <v>10</v>
      </c>
      <c r="C29" s="22">
        <f t="shared" si="0"/>
        <v>1786</v>
      </c>
      <c r="D29" s="22">
        <f t="shared" si="1"/>
        <v>1786</v>
      </c>
      <c r="E29" s="26"/>
      <c r="F29" s="26">
        <v>1786</v>
      </c>
      <c r="G29" s="20"/>
      <c r="H29" s="20"/>
      <c r="I29" s="20"/>
      <c r="J29" s="20"/>
      <c r="K29" s="20"/>
      <c r="L29" s="20"/>
      <c r="M29" s="20"/>
      <c r="N29" s="20"/>
      <c r="O29" s="20"/>
    </row>
    <row r="30" spans="1:15" x14ac:dyDescent="0.25">
      <c r="A30" s="58" t="s">
        <v>161</v>
      </c>
      <c r="B30" s="58"/>
      <c r="C30" s="58"/>
      <c r="D30" s="58"/>
      <c r="E30" s="58"/>
      <c r="F30" s="58"/>
      <c r="G30" s="20"/>
      <c r="H30" s="20"/>
      <c r="I30" s="20"/>
      <c r="J30" s="20"/>
      <c r="K30" s="20"/>
      <c r="L30" s="20"/>
      <c r="M30" s="20"/>
      <c r="N30" s="20"/>
      <c r="O30" s="20"/>
    </row>
    <row r="31" spans="1:15" x14ac:dyDescent="0.25">
      <c r="A31" s="22" t="s">
        <v>166</v>
      </c>
      <c r="B31" s="22" t="s">
        <v>167</v>
      </c>
      <c r="C31" s="22">
        <v>52</v>
      </c>
      <c r="D31" s="22">
        <v>52</v>
      </c>
      <c r="E31" s="22">
        <v>52</v>
      </c>
      <c r="F31" s="22">
        <v>52</v>
      </c>
      <c r="G31" s="20"/>
      <c r="H31" s="20"/>
      <c r="I31" s="20"/>
      <c r="J31" s="20"/>
      <c r="K31" s="20"/>
      <c r="L31" s="20"/>
      <c r="M31" s="20"/>
      <c r="N31" s="20"/>
      <c r="O31" s="20"/>
    </row>
    <row r="32" spans="1:15" x14ac:dyDescent="0.25">
      <c r="A32" s="22" t="s">
        <v>164</v>
      </c>
      <c r="B32" s="22" t="s">
        <v>167</v>
      </c>
      <c r="C32" s="22">
        <v>4.3449999999999998</v>
      </c>
      <c r="D32" s="22">
        <v>4.3449999999999998</v>
      </c>
      <c r="E32" s="22">
        <v>4.3449999999999998</v>
      </c>
      <c r="F32" s="22">
        <v>4.3449999999999998</v>
      </c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30" x14ac:dyDescent="0.25">
      <c r="A33" s="22" t="s">
        <v>165</v>
      </c>
      <c r="B33" s="22" t="s">
        <v>169</v>
      </c>
      <c r="C33" s="22">
        <v>3</v>
      </c>
      <c r="D33" s="22">
        <v>3</v>
      </c>
      <c r="E33" s="22">
        <v>3</v>
      </c>
      <c r="F33" s="22">
        <v>3</v>
      </c>
      <c r="G33" s="20"/>
      <c r="H33" s="20"/>
      <c r="I33" s="20"/>
      <c r="J33" s="20"/>
      <c r="K33" s="20"/>
      <c r="L33" s="20"/>
      <c r="M33" s="20"/>
      <c r="N33" s="20"/>
      <c r="O33" s="20"/>
    </row>
    <row r="34" spans="1:15" ht="30" x14ac:dyDescent="0.25">
      <c r="A34" s="22" t="s">
        <v>168</v>
      </c>
      <c r="B34" s="22" t="s">
        <v>170</v>
      </c>
      <c r="C34" s="22">
        <v>1</v>
      </c>
      <c r="D34" s="22">
        <v>1</v>
      </c>
      <c r="E34" s="22">
        <v>1</v>
      </c>
      <c r="F34" s="22">
        <v>1</v>
      </c>
      <c r="G34" s="20"/>
      <c r="H34" s="20"/>
      <c r="I34" s="20"/>
      <c r="J34" s="20"/>
      <c r="K34" s="20"/>
      <c r="L34" s="20"/>
      <c r="M34" s="20"/>
      <c r="N34" s="20"/>
      <c r="O34" s="20"/>
    </row>
    <row r="35" spans="1:15" ht="45" x14ac:dyDescent="0.25">
      <c r="A35" s="22" t="s">
        <v>171</v>
      </c>
      <c r="B35" s="22" t="s">
        <v>21</v>
      </c>
      <c r="C35" s="22">
        <v>18</v>
      </c>
      <c r="D35" s="22">
        <v>18</v>
      </c>
      <c r="E35" s="22">
        <v>18</v>
      </c>
      <c r="F35" s="22">
        <v>18</v>
      </c>
      <c r="G35" s="20"/>
      <c r="H35" s="20"/>
      <c r="I35" s="20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ht="47.45" customHeight="1" x14ac:dyDescent="0.25">
      <c r="A37" s="58" t="s">
        <v>194</v>
      </c>
      <c r="B37" s="58"/>
      <c r="C37" s="58"/>
      <c r="D37" s="58"/>
      <c r="E37" s="58"/>
      <c r="F37" s="58"/>
      <c r="G37" s="20"/>
      <c r="H37" s="20"/>
      <c r="I37" s="20"/>
      <c r="J37" s="20"/>
      <c r="K37" s="20"/>
      <c r="L37" s="20"/>
      <c r="M37" s="20"/>
      <c r="N37" s="20"/>
      <c r="O37" s="20"/>
    </row>
    <row r="38" spans="1:15" ht="42.6" customHeight="1" x14ac:dyDescent="0.25">
      <c r="A38" s="22" t="s">
        <v>24</v>
      </c>
      <c r="B38" s="27" t="s">
        <v>9</v>
      </c>
      <c r="C38" s="22" t="s">
        <v>191</v>
      </c>
      <c r="D38" s="22" t="s">
        <v>190</v>
      </c>
      <c r="E38" s="61" t="s">
        <v>189</v>
      </c>
      <c r="F38" s="62"/>
      <c r="G38" s="20"/>
      <c r="H38" s="20"/>
      <c r="I38" s="20"/>
      <c r="J38" s="20"/>
      <c r="K38" s="20"/>
      <c r="L38" s="20"/>
      <c r="M38" s="20"/>
      <c r="N38" s="20"/>
      <c r="O38" s="20"/>
    </row>
    <row r="39" spans="1:15" ht="30.6" customHeight="1" x14ac:dyDescent="0.25">
      <c r="A39" s="28" t="s">
        <v>25</v>
      </c>
      <c r="B39" s="22" t="s">
        <v>188</v>
      </c>
      <c r="C39" s="35">
        <v>710000</v>
      </c>
      <c r="D39" s="26">
        <v>5.5</v>
      </c>
      <c r="E39" s="56">
        <v>40</v>
      </c>
      <c r="F39" s="56"/>
      <c r="G39" s="20"/>
      <c r="H39" s="20"/>
      <c r="I39" s="20"/>
      <c r="J39" s="20"/>
      <c r="K39" s="20"/>
      <c r="L39" s="20"/>
      <c r="M39" s="20"/>
      <c r="N39" s="20"/>
      <c r="O39" s="20"/>
    </row>
    <row r="40" spans="1:15" ht="30.6" customHeight="1" x14ac:dyDescent="0.25">
      <c r="A40" s="28" t="s">
        <v>26</v>
      </c>
      <c r="B40" s="22" t="s">
        <v>188</v>
      </c>
      <c r="C40" s="35">
        <v>650000</v>
      </c>
      <c r="D40" s="26">
        <v>6</v>
      </c>
      <c r="E40" s="56">
        <v>40</v>
      </c>
      <c r="F40" s="56"/>
      <c r="G40" s="20"/>
      <c r="H40" s="20"/>
      <c r="I40" s="20"/>
      <c r="J40" s="20"/>
      <c r="K40" s="20"/>
      <c r="L40" s="20"/>
      <c r="M40" s="20"/>
      <c r="N40" s="20"/>
      <c r="O40" s="20"/>
    </row>
    <row r="41" spans="1:15" ht="30.6" customHeight="1" x14ac:dyDescent="0.25">
      <c r="A41" s="28" t="s">
        <v>31</v>
      </c>
      <c r="B41" s="22" t="s">
        <v>188</v>
      </c>
      <c r="C41" s="35">
        <v>540000</v>
      </c>
      <c r="D41" s="26">
        <v>6</v>
      </c>
      <c r="E41" s="56">
        <v>40</v>
      </c>
      <c r="F41" s="56"/>
      <c r="G41" s="20"/>
      <c r="H41" s="20"/>
      <c r="I41" s="20"/>
      <c r="J41" s="20"/>
      <c r="K41" s="20"/>
      <c r="L41" s="20"/>
      <c r="M41" s="20"/>
      <c r="N41" s="20"/>
      <c r="O41" s="20"/>
    </row>
    <row r="42" spans="1:15" ht="30.6" customHeight="1" x14ac:dyDescent="0.25">
      <c r="A42" s="28" t="s">
        <v>27</v>
      </c>
      <c r="B42" s="22" t="s">
        <v>188</v>
      </c>
      <c r="C42" s="35">
        <v>560000</v>
      </c>
      <c r="D42" s="26">
        <v>7</v>
      </c>
      <c r="E42" s="56">
        <v>40</v>
      </c>
      <c r="F42" s="56"/>
      <c r="G42" s="20"/>
      <c r="H42" s="20"/>
      <c r="I42" s="20"/>
      <c r="J42" s="20"/>
      <c r="K42" s="20"/>
      <c r="L42" s="20"/>
      <c r="M42" s="20"/>
      <c r="N42" s="20"/>
      <c r="O42" s="20"/>
    </row>
    <row r="43" spans="1:15" ht="30.6" customHeight="1" x14ac:dyDescent="0.25">
      <c r="A43" s="28" t="s">
        <v>28</v>
      </c>
      <c r="B43" s="22" t="s">
        <v>188</v>
      </c>
      <c r="C43" s="35">
        <v>530000</v>
      </c>
      <c r="D43" s="26">
        <v>7</v>
      </c>
      <c r="E43" s="56">
        <v>40</v>
      </c>
      <c r="F43" s="56"/>
      <c r="G43" s="20"/>
      <c r="H43" s="20"/>
      <c r="I43" s="20"/>
      <c r="J43" s="20"/>
      <c r="K43" s="20"/>
      <c r="L43" s="20"/>
      <c r="M43" s="20"/>
      <c r="N43" s="20"/>
      <c r="O43" s="20"/>
    </row>
    <row r="44" spans="1:15" ht="30.6" customHeight="1" x14ac:dyDescent="0.25">
      <c r="A44" s="28" t="s">
        <v>29</v>
      </c>
      <c r="B44" s="22" t="s">
        <v>188</v>
      </c>
      <c r="C44" s="35">
        <v>550000</v>
      </c>
      <c r="D44" s="26">
        <v>6</v>
      </c>
      <c r="E44" s="56">
        <v>40</v>
      </c>
      <c r="F44" s="56"/>
      <c r="G44" s="20"/>
      <c r="H44" s="20"/>
      <c r="I44" s="20"/>
      <c r="J44" s="20"/>
      <c r="K44" s="20"/>
      <c r="L44" s="20"/>
      <c r="M44" s="20"/>
      <c r="N44" s="20"/>
      <c r="O44" s="20"/>
    </row>
    <row r="45" spans="1:15" ht="30.6" customHeight="1" x14ac:dyDescent="0.25">
      <c r="A45" s="28" t="s">
        <v>30</v>
      </c>
      <c r="B45" s="22" t="s">
        <v>188</v>
      </c>
      <c r="C45" s="35">
        <v>500000</v>
      </c>
      <c r="D45" s="26">
        <v>7</v>
      </c>
      <c r="E45" s="56">
        <v>40</v>
      </c>
      <c r="F45" s="56"/>
      <c r="G45" s="20"/>
      <c r="H45" s="20"/>
      <c r="I45" s="20"/>
      <c r="J45" s="20"/>
      <c r="K45" s="20"/>
      <c r="L45" s="20"/>
      <c r="M45" s="20"/>
      <c r="N45" s="20"/>
      <c r="O45" s="20"/>
    </row>
    <row r="46" spans="1:15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1:15" x14ac:dyDescent="0.25">
      <c r="A47" s="36" t="s">
        <v>192</v>
      </c>
      <c r="B47" s="36"/>
      <c r="C47" s="36"/>
      <c r="D47" s="36"/>
      <c r="E47" s="36"/>
      <c r="F47" s="36"/>
      <c r="G47" s="20"/>
      <c r="H47" s="20"/>
      <c r="I47" s="20"/>
      <c r="J47" s="20"/>
      <c r="K47" s="20"/>
      <c r="L47" s="20"/>
      <c r="M47" s="20"/>
      <c r="N47" s="20"/>
      <c r="O47" s="20"/>
    </row>
    <row r="48" spans="1:15" x14ac:dyDescent="0.25">
      <c r="A48" s="36" t="s">
        <v>193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1:15" ht="43.15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1:15" hidden="1" x14ac:dyDescent="0.25">
      <c r="A50" s="59"/>
      <c r="B50" s="59"/>
      <c r="C50" s="59"/>
      <c r="D50" s="59"/>
      <c r="E50" s="59"/>
      <c r="F50" s="59"/>
      <c r="G50" s="20"/>
      <c r="H50" s="20"/>
      <c r="I50" s="20"/>
      <c r="J50" s="20"/>
      <c r="K50" s="20"/>
      <c r="L50" s="20"/>
      <c r="M50" s="20"/>
      <c r="N50" s="20"/>
      <c r="O50" s="20"/>
    </row>
    <row r="51" spans="1:15" hidden="1" x14ac:dyDescent="0.25"/>
  </sheetData>
  <sheetProtection algorithmName="SHA-512" hashValue="qpNWC5jJo9i8d4aFEEC6zvcZ1BRt6enWIAb1BPpudpKGDt60Fi4wjKbqoyXUinQTZ6UceElZDZHo6zPXzynpMw==" saltValue="ZH3we3Wgjq5ZI+V5QNw5bA==" spinCount="100000" sheet="1" objects="1" scenarios="1" formatColumns="0" formatRows="0"/>
  <mergeCells count="18">
    <mergeCell ref="E43:F43"/>
    <mergeCell ref="E44:F44"/>
    <mergeCell ref="E45:F45"/>
    <mergeCell ref="A50:F50"/>
    <mergeCell ref="B4:F4"/>
    <mergeCell ref="A37:F37"/>
    <mergeCell ref="E38:F38"/>
    <mergeCell ref="E39:F39"/>
    <mergeCell ref="E40:F40"/>
    <mergeCell ref="E41:F41"/>
    <mergeCell ref="E42:F42"/>
    <mergeCell ref="B2:F2"/>
    <mergeCell ref="H7:M7"/>
    <mergeCell ref="B6:F6"/>
    <mergeCell ref="A30:F30"/>
    <mergeCell ref="A21:F21"/>
    <mergeCell ref="A8:D8"/>
    <mergeCell ref="E8:F8"/>
  </mergeCells>
  <dataValidations count="6">
    <dataValidation type="list" allowBlank="1" showInputMessage="1" showErrorMessage="1" sqref="B6:F6">
      <formula1>"все коммунальные расходы покрываются сертификатом,сертификат не покрывает 50% тепловой энергии и 10% электроэнергии (задание на платные услуги),исключены все коммунальные услуги"</formula1>
    </dataValidation>
    <dataValidation type="list" allowBlank="1" showInputMessage="1" showErrorMessage="1" sqref="I16:M16">
      <formula1>"городская,сельская"</formula1>
    </dataValidation>
    <dataValidation type="list" allowBlank="1" showInputMessage="1" showErrorMessage="1" sqref="I9:M9">
      <formula1>$A$23:$A$29</formula1>
    </dataValidation>
    <dataValidation type="whole" allowBlank="1" showInputMessage="1" showErrorMessage="1" error="Вводите суммы от 0 до 1 млн рублей" sqref="C39:C45">
      <formula1>0</formula1>
      <formula2>1000000</formula2>
    </dataValidation>
    <dataValidation type="decimal" allowBlank="1" showInputMessage="1" showErrorMessage="1" error="Вводите число лет от  0,5 до 20" sqref="D39:D45">
      <formula1>0</formula1>
      <formula2>20</formula2>
    </dataValidation>
    <dataValidation type="decimal" allowBlank="1" showInputMessage="1" showErrorMessage="1" error="Вводите число нелель от 34 до 52" sqref="E39:F45">
      <formula1>35</formula1>
      <formula2>52</formula2>
    </dataValidation>
  </dataValidations>
  <pageMargins left="0.7" right="0.7" top="0.75" bottom="0.75" header="0.3" footer="0.3"/>
  <pageSetup paperSize="9" scale="6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параметры!$B$4:$B$46</xm:f>
          </x14:formula1>
          <xm:sqref>B2:F2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исходные</vt:lpstr>
      <vt:lpstr>параметры</vt:lpstr>
      <vt:lpstr>имитация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2020-06-29T07:58:34Z</dcterms:modified>
</cp:coreProperties>
</file>